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Январь 2022г." sheetId="11" r:id="rId1"/>
    <sheet name="Февраль 2022" sheetId="15" r:id="rId2"/>
    <sheet name="Март 2022" sheetId="16" r:id="rId3"/>
    <sheet name="2 квартал 2020" sheetId="10" state="hidden" r:id="rId4"/>
    <sheet name="3 квартал 2020" sheetId="1" state="hidden" r:id="rId5"/>
    <sheet name="4 квартал 2020" sheetId="12" state="hidden" r:id="rId6"/>
  </sheets>
  <calcPr calcId="152511" refMode="R1C1"/>
</workbook>
</file>

<file path=xl/calcChain.xml><?xml version="1.0" encoding="utf-8"?>
<calcChain xmlns="http://schemas.openxmlformats.org/spreadsheetml/2006/main">
  <c r="I277" i="11" l="1"/>
  <c r="I140" i="11" l="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17" i="11" l="1"/>
  <c r="I18" i="11"/>
  <c r="I19" i="11"/>
  <c r="I20" i="11"/>
  <c r="I21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J47" i="16" l="1"/>
  <c r="J45" i="16" l="1"/>
  <c r="J44" i="16"/>
  <c r="J43" i="16"/>
  <c r="J38" i="16"/>
  <c r="J37" i="16"/>
  <c r="J36" i="16"/>
  <c r="J31" i="16"/>
  <c r="J30" i="16"/>
  <c r="J29" i="16"/>
  <c r="I32" i="15" l="1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J46" i="16"/>
  <c r="J42" i="16"/>
  <c r="J41" i="16"/>
  <c r="J40" i="16"/>
  <c r="J39" i="16"/>
  <c r="J35" i="16"/>
  <c r="J34" i="16"/>
  <c r="J33" i="16"/>
  <c r="J32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48" i="16" l="1"/>
  <c r="I41" i="15"/>
  <c r="I40" i="15"/>
  <c r="I39" i="15"/>
  <c r="I38" i="15"/>
  <c r="I37" i="15"/>
  <c r="I36" i="15"/>
  <c r="I35" i="15"/>
  <c r="I34" i="15"/>
  <c r="I33" i="15"/>
  <c r="I42" i="15" l="1"/>
  <c r="A9" i="1" l="1"/>
  <c r="A10" i="1" s="1"/>
  <c r="A9" i="10"/>
  <c r="A10" i="10" s="1"/>
  <c r="H11" i="10" l="1"/>
  <c r="H11" i="1" l="1"/>
  <c r="H11" i="12" l="1"/>
  <c r="A9" i="12" l="1"/>
  <c r="A10" i="12" s="1"/>
</calcChain>
</file>

<file path=xl/sharedStrings.xml><?xml version="1.0" encoding="utf-8"?>
<sst xmlns="http://schemas.openxmlformats.org/spreadsheetml/2006/main" count="2306" uniqueCount="877">
  <si>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</si>
  <si>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</si>
  <si>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</si>
  <si>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</si>
  <si>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№ п/п</t>
  </si>
  <si>
    <t>Дата и время отключения объекта (московское)</t>
  </si>
  <si>
    <t>Дата и время ввода объекта в работу (московское)</t>
  </si>
  <si>
    <t>Примечание</t>
  </si>
  <si>
    <t>Объем недопоставленной электрической энергии, кВт*час</t>
  </si>
  <si>
    <t>ИТОГО:</t>
  </si>
  <si>
    <t>Сведения об объеме недопоставленной в результате аварийных отключений электрической энергии
на объектах ООО "Газпром энерго"</t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</si>
  <si>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_2_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</si>
  <si>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_3_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</si>
  <si>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_4_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</si>
  <si>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t>Республика Башкортостан</t>
  </si>
  <si>
    <t>Сведения об объеме недопоставленной в результате аварийных отключений электрической энергии
на объектах ГУП "Региональные электрические сети" РБ</t>
  </si>
  <si>
    <t>ВЛ-0,4    Л-1        ТП-123</t>
  </si>
  <si>
    <t>ВЛ-0,4    Л-1 ТП-44</t>
  </si>
  <si>
    <t>АВ-0,4    Л-3 ТП-67</t>
  </si>
  <si>
    <t>ВЛ-0,4    Л-1 ТП-50</t>
  </si>
  <si>
    <t>ВЛ-0,4    Л-1 ТП-9</t>
  </si>
  <si>
    <t xml:space="preserve">В-10кВ Ф.8  ПС 110 Иглино-тяга </t>
  </si>
  <si>
    <t>АВ-0,4 Л-6 ТП-2163</t>
  </si>
  <si>
    <t>АВ-0,4    Л-1 ТП-6Г</t>
  </si>
  <si>
    <t>АВ-0,4    Л-1 ТП-31</t>
  </si>
  <si>
    <t>ТП-93 АВ-0,4 кВ Л-1</t>
  </si>
  <si>
    <t>АВ-0,4    Л-1 ТП-106</t>
  </si>
  <si>
    <t>ВЛ-0,4    Л-4 ТП-69</t>
  </si>
  <si>
    <t>ВЛ-10  Ф-4 ПС Иглино</t>
  </si>
  <si>
    <t>ПС Нагаево В-10 Ф16</t>
  </si>
  <si>
    <t>ВЛ-0,4    Л-1        ТП-9812</t>
  </si>
  <si>
    <t>ВЛ-0,4кВ  Л-1        ТП-9629</t>
  </si>
  <si>
    <t>ТП-16Г  Р-0,4 кВ 1Т</t>
  </si>
  <si>
    <t xml:space="preserve">1Т ТП-9 </t>
  </si>
  <si>
    <t>В-10  Ф-8 РП-908</t>
  </si>
  <si>
    <t>В-10  Ф-6 ПС Нагаево</t>
  </si>
  <si>
    <t>АВ-0,4 Л-1, ТП-90</t>
  </si>
  <si>
    <t xml:space="preserve">ПС Авдон ВЛ-10     Ф-11 </t>
  </si>
  <si>
    <t>ВЛ-0,4    Л-4 ТП-11</t>
  </si>
  <si>
    <t>ВЛ-0,4    Л-1 ТП-7</t>
  </si>
  <si>
    <t>ТП-45 АВ-0,4 кВ Л-1</t>
  </si>
  <si>
    <t>ТП-45 АВ-0,4 кВ Л-3</t>
  </si>
  <si>
    <t>ВЛ-0,4    Л-1 ТП-36</t>
  </si>
  <si>
    <t>ТП-9957  РУ-0,4 кВ 1Т</t>
  </si>
  <si>
    <t xml:space="preserve">ВЛ-10кВ Ф-394, РП Ягодный </t>
  </si>
  <si>
    <t>ТП-104 ф-396 РП-Ягодная</t>
  </si>
  <si>
    <t>ПО " ЦЭС"</t>
  </si>
  <si>
    <t>ТП-9956 Р-0,4 кВ 1Т ф.А</t>
  </si>
  <si>
    <t>ТП-90 ВЛ-0,4 кВ Л-1</t>
  </si>
  <si>
    <t xml:space="preserve">КЛ-0,4 кВ ТП-6182 ВРУ ж/д Уфимское шоссе 18 </t>
  </si>
  <si>
    <t>ВЛ-0,4 Л-2 ТП-68</t>
  </si>
  <si>
    <t>ВЛ-0,4 Л-1 ТП-68</t>
  </si>
  <si>
    <t>КЛ-0,4 кВ ТП-6182 ВРУ ж/д Уфимское шоссе 18</t>
  </si>
  <si>
    <t>ВЛ-0,4    Л-2 ТП-4306</t>
  </si>
  <si>
    <t>ВЛ-0,4 Л-2 ТП-01521</t>
  </si>
  <si>
    <t>ВЛ-0,4 Л-2 ТП-01480</t>
  </si>
  <si>
    <t>АВ-1Т ТП-9246</t>
  </si>
  <si>
    <t>ВЛ-0,4    Л-6 ТП-91</t>
  </si>
  <si>
    <t>В-10 ф.7 ПС Кудеевка</t>
  </si>
  <si>
    <t xml:space="preserve"> РП БКЗ  В-10 ф.Жил.Поселок </t>
  </si>
  <si>
    <t xml:space="preserve">В-10кВ ф.27 ЗРУ-10 УБКУА ЛПДС ПС Нурлино </t>
  </si>
  <si>
    <t>АВ-0,4 Л-1 ТП-05263</t>
  </si>
  <si>
    <t xml:space="preserve">В-10кВ ф.5 ПС Тавтиманово </t>
  </si>
  <si>
    <t>В-10кВ ф.5 ПС Улу-Теляк</t>
  </si>
  <si>
    <t>1Т ТП-9628</t>
  </si>
  <si>
    <t>В-10кВ ф.5 ПС      Иглино</t>
  </si>
  <si>
    <t>АВ-0,4 Л-3 ТП-6</t>
  </si>
  <si>
    <t>ВЛ-0,4кВ Л-5 ТП-96</t>
  </si>
  <si>
    <t>ВЛ-10кВ яч. 50,ЗРУ-10 ЛПДС</t>
  </si>
  <si>
    <t xml:space="preserve"> ТП-15 ВЛ-0,4  </t>
  </si>
  <si>
    <t>АВ-0,4кВ Л-3 ТП-22</t>
  </si>
  <si>
    <t>ПС Минзитарово В-10 Ф-8</t>
  </si>
  <si>
    <t>ВЛ-0,4    Л-2 ТП-66</t>
  </si>
  <si>
    <t>Р-0,4кВ Л-5 ТП-86</t>
  </si>
  <si>
    <t>В-10 Ф.5  ПС 110 Иглино-тяга</t>
  </si>
  <si>
    <t>ТП-9999 ВЛ-0,4 кВ Л-3</t>
  </si>
  <si>
    <t>В-10  Ф-14 РП Рощинский</t>
  </si>
  <si>
    <t>В-10  Ф-406 РП Вятка</t>
  </si>
  <si>
    <t>ВЛ-0,4кВ Л-3 ТП-116</t>
  </si>
  <si>
    <t>В-10 Ф-14 ПС Максимовка</t>
  </si>
  <si>
    <t>ВЛ-0,4кВ Л-1 ТП-106</t>
  </si>
  <si>
    <t>В-10  Ф-9 ПС Иглино</t>
  </si>
  <si>
    <t>ВЛ-0,4кВ Л-1 ТП-7</t>
  </si>
  <si>
    <t>ТП-70 ВЛ-0,4 кВ Л-4</t>
  </si>
  <si>
    <t>ТП-4302</t>
  </si>
  <si>
    <t>Р-0,4 1Т ф.С ТП-9882</t>
  </si>
  <si>
    <t>КЛ-0,4     РП-105-ВРУ ЖД Транспортная 44</t>
  </si>
  <si>
    <t>В-10кВ ф.14 ПС      Зубово</t>
  </si>
  <si>
    <t>ВЛ -10кВ ф.5 ПС Улу-Теляк, участок за РО-2141</t>
  </si>
  <si>
    <t>Ф.4  ПС 110 Иглино-тяга</t>
  </si>
  <si>
    <t>В-10кВ ф.12 ЗРУ УБКУА ЛПДС</t>
  </si>
  <si>
    <t>В-6 кВ    ТП-7259/2</t>
  </si>
  <si>
    <t>1Т   ТП-7155</t>
  </si>
  <si>
    <t>В-10 Ф-8  ПС 110 Шакша-р</t>
  </si>
  <si>
    <t>ТП-36 ВЛ-0,4 кВ Л-2</t>
  </si>
  <si>
    <t>ВЛ-0,4 Л-4 ТП-69</t>
  </si>
  <si>
    <t xml:space="preserve">ТП-05263 АВ-0,4 Л-2  </t>
  </si>
  <si>
    <t>ТП-60  АВ-0,4 кВ Л-2</t>
  </si>
  <si>
    <t xml:space="preserve">ТП-113 АВ-0,4 Л-1 </t>
  </si>
  <si>
    <t>ТП-9629  АВ-0,4 кВ Л-1</t>
  </si>
  <si>
    <t>1Т   ТП-60</t>
  </si>
  <si>
    <t>ТП-60  АВ-0,4 кВ Л-1</t>
  </si>
  <si>
    <t>н.п. Шамонино</t>
  </si>
  <si>
    <t>н.п. Улу-Теляк</t>
  </si>
  <si>
    <t>г. Уфа</t>
  </si>
  <si>
    <t>н.п. Иглино</t>
  </si>
  <si>
    <t>н.п. Акбердино</t>
  </si>
  <si>
    <t>н.п Осоргино</t>
  </si>
  <si>
    <t>н.п. Кудеевка</t>
  </si>
  <si>
    <t>н.п Нурлино</t>
  </si>
  <si>
    <t>н.п. Тавтиманово</t>
  </si>
  <si>
    <t>н.п Улу-Теляк</t>
  </si>
  <si>
    <t>н.п Нагаево</t>
  </si>
  <si>
    <t>н.п Иглино</t>
  </si>
  <si>
    <t>г. Стерлитамак</t>
  </si>
  <si>
    <t>н.п Максимовка</t>
  </si>
  <si>
    <t>н.п Зубово</t>
  </si>
  <si>
    <t>н.п. Нурлино</t>
  </si>
  <si>
    <t>н.п Шакша</t>
  </si>
  <si>
    <t>н.п Акберидно</t>
  </si>
  <si>
    <r>
      <t>за Февраль</t>
    </r>
    <r>
      <rPr>
        <b/>
        <u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2022 года</t>
    </r>
  </si>
  <si>
    <t>н.п. Жукова</t>
  </si>
  <si>
    <t>н.п. Нагаево</t>
  </si>
  <si>
    <t>н.п. Большой Куганак</t>
  </si>
  <si>
    <t>за Март 2022 года</t>
  </si>
  <si>
    <t>ВЛ-10кВ  ф.156 ПС Кармаскалы</t>
  </si>
  <si>
    <t>Ф.5  ПС 110 Иглино-тяга</t>
  </si>
  <si>
    <t>В-10кВ  ф.388 РП-Карамалы</t>
  </si>
  <si>
    <t>В-10кВ  ф.18 ПС Авдон</t>
  </si>
  <si>
    <t>В-10кВ  ф.10 РП-409</t>
  </si>
  <si>
    <t>ВЛ-0,4    Л-1 ТП-60</t>
  </si>
  <si>
    <t xml:space="preserve">ВЛ-0,4 кВ л-1 ТП-6Г </t>
  </si>
  <si>
    <t xml:space="preserve">ВЛ-0,4 кВ л-1 ТП-9 </t>
  </si>
  <si>
    <t>ТП-2384 Ф-21 ПС Наумовка</t>
  </si>
  <si>
    <t>АВ-0,4 кВ Л-1 ТП-18</t>
  </si>
  <si>
    <t>АВ-0,4 кВ Л-1 ТП-9Г</t>
  </si>
  <si>
    <t>АВ-0,4 кВ Л-1 ТП-6</t>
  </si>
  <si>
    <t xml:space="preserve"> ВЛ-0,4 кВ Л-1 ТП-106</t>
  </si>
  <si>
    <t xml:space="preserve"> ВЛ-0,4 кВ Л-1 ТП-01284</t>
  </si>
  <si>
    <t>В-10кВ  ф.7 ПС Тавтиманово</t>
  </si>
  <si>
    <t>ТП-6111 ВН-6 к ТП-6002</t>
  </si>
  <si>
    <t xml:space="preserve"> АВ-0,4 кВ Л-1 ТП-62</t>
  </si>
  <si>
    <t xml:space="preserve"> АВ-0,4 кВ Л-3 ТП-97</t>
  </si>
  <si>
    <t xml:space="preserve">ВЛ-10 кВ Ф-8 ПС Иглино-тяговая участок за РС-19 </t>
  </si>
  <si>
    <t>В-10кВ  ф.156  ПС Кармаскалы</t>
  </si>
  <si>
    <t xml:space="preserve"> АВ-0,4 кВ Л-3 ТП-123</t>
  </si>
  <si>
    <t xml:space="preserve">В-10кВ  ф.7 ПС Ключарево </t>
  </si>
  <si>
    <t xml:space="preserve"> АВ-0,4 кВ Л-1 ТП-35</t>
  </si>
  <si>
    <t xml:space="preserve">В-10 Ф-7 ПС Иглино-тяговая </t>
  </si>
  <si>
    <t>ТП-35   РУ-0,4 кВ 1Т</t>
  </si>
  <si>
    <t xml:space="preserve"> ВЛ-0,4 кВ Л-1 ТП очистных сооружений</t>
  </si>
  <si>
    <t xml:space="preserve"> В-10 Ф-9 ПС Зубово</t>
  </si>
  <si>
    <t>ТП-84</t>
  </si>
  <si>
    <t xml:space="preserve">ВЛ-0,4 ТП-10 </t>
  </si>
  <si>
    <t xml:space="preserve">ВЛ-0,4 ТП-8Г </t>
  </si>
  <si>
    <t xml:space="preserve">ВЛ-10 ф.404 РП Вятка  </t>
  </si>
  <si>
    <t xml:space="preserve">ВЛ-10 ф.406 РП Вятка  </t>
  </si>
  <si>
    <t xml:space="preserve">В-10кВ  ф.22       ПС Наумовка </t>
  </si>
  <si>
    <t xml:space="preserve">В-10     РП-151     к ТП-6515 </t>
  </si>
  <si>
    <t xml:space="preserve"> АВ-0,4 кВ Л-2 ТП-15</t>
  </si>
  <si>
    <t xml:space="preserve">В-10кВ  ф.27 ЗРУ-10 УБКУА ЛПДС ПС Нурлино </t>
  </si>
  <si>
    <t>н.п. Авдон</t>
  </si>
  <si>
    <t>н.п. Кармаскалы</t>
  </si>
  <si>
    <t>н.п. Зинино</t>
  </si>
  <si>
    <t>н.п Наумовка</t>
  </si>
  <si>
    <t>н.п. Юматово</t>
  </si>
  <si>
    <t>н.п. Зубово</t>
  </si>
  <si>
    <t>Перегорел ПН Р-1Т 0,4 кВ ТП-9956. Перегруз</t>
  </si>
  <si>
    <t>Отключение ТП-90 Сгорел ПК-10 фаза А,В. Разгермитизация швов между проходными изоляторами и корпусом КТПН</t>
  </si>
  <si>
    <t>КЛ-0,4 кВ ТП-6182 повреждение ф.В. Износ, старение КЛ.</t>
  </si>
  <si>
    <t>ВЛ-0,4 кВ Л-1, Л-2. Пожар по адресу н.п. Иглино ул. Милиараторов 30а</t>
  </si>
  <si>
    <t>ВЛ-0,4 кВ Л-2 ТП-4306, обрыв нулевого провода.</t>
  </si>
  <si>
    <t>АВ-1Т ТП-9246. Перегруз</t>
  </si>
  <si>
    <t>АВ-Л-2 ТП-01521. Перегруз.</t>
  </si>
  <si>
    <t>АВ-Л-2 ТП-01480. Перегруз.</t>
  </si>
  <si>
    <t>ВЛ-0,4 кВ Л-6 ТП-91 перетртый провод выхода из ТП</t>
  </si>
  <si>
    <t>Повреждение в смежной Сетевой организации</t>
  </si>
  <si>
    <t>Схлест проводов</t>
  </si>
  <si>
    <t>ПК-10, Перегруз</t>
  </si>
  <si>
    <t>РТП-52. Упала ветка</t>
  </si>
  <si>
    <t>Перегруз</t>
  </si>
  <si>
    <t>упала ветка на линию</t>
  </si>
  <si>
    <t>Обрыв проводов</t>
  </si>
  <si>
    <t>Износ провода. Обрыв.</t>
  </si>
  <si>
    <t>Оплавление спусков от ВЛ-0,4 кВ</t>
  </si>
  <si>
    <t>Сгорел контакт ф.А Р-1Т</t>
  </si>
  <si>
    <t>Отгорел кабельный наконечник. Плохая опресовка.</t>
  </si>
  <si>
    <t>установка не калиброванных ПК-10</t>
  </si>
  <si>
    <t>Повреждение изолятора на ВЛ-10 кВ.</t>
  </si>
  <si>
    <t>Повреждение опоры автомобилем</t>
  </si>
  <si>
    <t>повреждение КЛ-10 кВ от ТП-4438 к ТП-4439</t>
  </si>
  <si>
    <t>Неправильная работа РЗиА</t>
  </si>
  <si>
    <t>Перегорели ПН-0,4 кВ ф.А ф.В. Перегруз</t>
  </si>
  <si>
    <t>Выход из строя трансформатора</t>
  </si>
  <si>
    <t>Для безопасного ведение работ по замене трансформатора</t>
  </si>
  <si>
    <t>обрыв проводов</t>
  </si>
  <si>
    <t>Замыкание контактов АВ-0,4 кВ АВ Л-1</t>
  </si>
  <si>
    <t>Повреждение на балансе потребителя</t>
  </si>
  <si>
    <t>Для востоновление нормальной схемы электроснабжения</t>
  </si>
  <si>
    <t>Перегорание ПК-10 ф. С</t>
  </si>
  <si>
    <t>В ТП-9955 повреждение концевых муфт шитого полиэтилена, повреждение опорной изоляции в яч.Ф-16 ПС Нагаево, Дефект РТП-9955</t>
  </si>
  <si>
    <t>Разрушение опорного изолятора РТП-11Г ф.С, обгоревший крнтакт ф.С.</t>
  </si>
  <si>
    <t>Повреждение КЛ-10 кВ Ф-8 ПС Иглино к РС-7 нитка А</t>
  </si>
  <si>
    <t>Износ деревянной опоры</t>
  </si>
  <si>
    <t>Грейдер сбил опору</t>
  </si>
  <si>
    <t>Плохой контакт на опоре. Замена прокалывающего зажима в линии</t>
  </si>
  <si>
    <t>Обгоревший провод на вводе 0,4 кВ</t>
  </si>
  <si>
    <t>РПВ успешно</t>
  </si>
  <si>
    <t>дефект опорного изолятора 1Т</t>
  </si>
  <si>
    <t>Обрыв провода</t>
  </si>
  <si>
    <t>А/М сбил опору ВЛ-0,4 кВ Л-3</t>
  </si>
  <si>
    <t xml:space="preserve">Повреждение в смежной сетевой организации </t>
  </si>
  <si>
    <t>Перегруз. Перекос фаз</t>
  </si>
  <si>
    <t>сгорел Опорный изолятор РТП-30</t>
  </si>
  <si>
    <t>схлест проводов</t>
  </si>
  <si>
    <t>упала ветка на РТП-159.Повреждение на балансе смежной сетевой организации</t>
  </si>
  <si>
    <t>Наброс ветки</t>
  </si>
  <si>
    <t>Повреждение на балансе смежной сетевой организации. Обрыв шлейфа в сетях ЗРЭС</t>
  </si>
  <si>
    <t>Повреждение опорного изолятора в ТП-9073</t>
  </si>
  <si>
    <t xml:space="preserve">Наброс постороннего предмета на ВЛ-10 кВ Ф-5 ПС Иглино Тяга </t>
  </si>
  <si>
    <t xml:space="preserve">Замена изоляторов на оп.№ 18 </t>
  </si>
  <si>
    <t>дефект опорного изолятора 1Т ТП-84</t>
  </si>
  <si>
    <t>Отгорание шлейфа ВЛ-10 кВ в виду перегруза</t>
  </si>
  <si>
    <t>По заявке Стерл.Водоканал</t>
  </si>
  <si>
    <t>Повреждение в смежной сетевой организации. Возгорание ТП-186</t>
  </si>
  <si>
    <t>Перегорел ПН-0,4 кВ Л-1</t>
  </si>
  <si>
    <t>Повреждение КЛ-6 кВ от ТП-6111 к ТП-6002</t>
  </si>
  <si>
    <t>Повреждение корпуса ТП-2384, привело к замыканию оборудования ТП</t>
  </si>
  <si>
    <t>Повреждение в смежной сетевой организации.</t>
  </si>
  <si>
    <t>неисправность трасформатора</t>
  </si>
  <si>
    <t>Замена отходящего АВ-0,4 Л-3</t>
  </si>
  <si>
    <t>износ оборудование</t>
  </si>
  <si>
    <t>Износ оборудование</t>
  </si>
  <si>
    <t>Отключение по заявке ЖКХ</t>
  </si>
  <si>
    <t>КЗ. Вызванным подрядной организацией ООО "НЕФТЕХ" при производстве работ по монтажу линии СИП в охранной зоне ВЛ-0,4 кВ</t>
  </si>
  <si>
    <t>17ч. 55 мин. 01.01.2022</t>
  </si>
  <si>
    <t>10 ч. 55 мин. 2022.01.02</t>
  </si>
  <si>
    <t>23 ч. 20 мин. 2022.01.02</t>
  </si>
  <si>
    <t>20 ч. 20 мин. 2022.01.03</t>
  </si>
  <si>
    <t>20 ч. 20 мин 2022.01.03</t>
  </si>
  <si>
    <t>21 ч. 32 мин. 2022.01.03</t>
  </si>
  <si>
    <t>12 ч. 48 мин.  2022.01.05</t>
  </si>
  <si>
    <t>11 ч. 30 мин.  2022.01.06</t>
  </si>
  <si>
    <t>18 ч. 55 мин.  2022.01.06</t>
  </si>
  <si>
    <t>19 ч. 00 мин  2022.01.06</t>
  </si>
  <si>
    <t>08 ч. 27 мин.  2022.01.07</t>
  </si>
  <si>
    <t>15 ч. 35 мин. 2022.01.07</t>
  </si>
  <si>
    <t>16 ч. 12 мин. 2022.01.07</t>
  </si>
  <si>
    <t>17 ч. 27 мин.  2022.01.07</t>
  </si>
  <si>
    <t>20 ч. 51 мин. 2022.01.07</t>
  </si>
  <si>
    <t>22 ч. 04 мин. 2022.01.07</t>
  </si>
  <si>
    <t>22 ч. 12 мин. 2022.01.07</t>
  </si>
  <si>
    <t>23 ч. 50 мин.  2022.01.07</t>
  </si>
  <si>
    <t>02 ч. 46 мин. 2022.01.08</t>
  </si>
  <si>
    <t>07 ч. 30 мин.  2022.01.08</t>
  </si>
  <si>
    <t>11 ч. 26 мин.  2022.01.08</t>
  </si>
  <si>
    <t>12 ч. 24 мин. 2022.01.08</t>
  </si>
  <si>
    <t>12 ч. 25 мин.  2022.01.08</t>
  </si>
  <si>
    <t>14 ч. 20 мин.  2022.01.08</t>
  </si>
  <si>
    <t>16 ч. 35 мин.  2022.01.08</t>
  </si>
  <si>
    <t>19 ч. 15 мин. 2022.01.08</t>
  </si>
  <si>
    <t>04 ч. 46 мин. 2022.01.09</t>
  </si>
  <si>
    <t>10 ч. 20 мин.  2022.01.09</t>
  </si>
  <si>
    <t>12 ч. 01 мин.  2022.01.11</t>
  </si>
  <si>
    <t>16 ч. 16 мин.  2022.01.11</t>
  </si>
  <si>
    <t>18 ч. 50 мин. 2022.01.15</t>
  </si>
  <si>
    <t>20 ч. 03 мин.  2022.01.15</t>
  </si>
  <si>
    <t>23 ч. 53 мин. 2022.01.15</t>
  </si>
  <si>
    <t>00 ч. 41 мин.  2022.01.16</t>
  </si>
  <si>
    <t>01 ч. 19 мин.  2022.01.16</t>
  </si>
  <si>
    <t>02 ч. 13 мин.  2022.01.16</t>
  </si>
  <si>
    <t>02 ч. 17 мин. 2022.01.16</t>
  </si>
  <si>
    <t>04 ч. 35 мин. 2022.01.16</t>
  </si>
  <si>
    <t>06 ч. 45 мин. 2022.01.16</t>
  </si>
  <si>
    <t>15 ч. 34 мин. 2022.01.16</t>
  </si>
  <si>
    <t>04 ч. 25 мин. 2022.01.17</t>
  </si>
  <si>
    <t>19 ч. 07 мин.  2022.01.17</t>
  </si>
  <si>
    <t>22 ч. 55 мин. 2022.01.17</t>
  </si>
  <si>
    <t>23 ч. 00 мин.  2022.01.17</t>
  </si>
  <si>
    <t>16 ч. 26 мин. 2022.01.21</t>
  </si>
  <si>
    <t>02 ч. 48 мин. 2022.01.24</t>
  </si>
  <si>
    <t>02 ч. 26 мин.  2022.01.25</t>
  </si>
  <si>
    <t>10 ч. 08 мин. 2022.01.25</t>
  </si>
  <si>
    <t>12 ч. 30 мин.  2022.01.25</t>
  </si>
  <si>
    <t>12 ч. 38 мин. 2022.01.26</t>
  </si>
  <si>
    <t>21 ч. 50 мин.  2022.01.27</t>
  </si>
  <si>
    <t>15 ч. 01 мин.  2022.01.28</t>
  </si>
  <si>
    <t>13 ч. 02 мин 2022.01.29</t>
  </si>
  <si>
    <t>13 ч. 58 мин.  2022.01.29</t>
  </si>
  <si>
    <t>15 ч. 35 мин.  2022.01.29</t>
  </si>
  <si>
    <t>16 ч. 28 мин. 2022.01.29</t>
  </si>
  <si>
    <t>19 ч. 40 мин. 2022.01.29</t>
  </si>
  <si>
    <t>20 ч. 25 мин. 2022.01.29</t>
  </si>
  <si>
    <t>11 ч. 10 мин.  2022.01.30</t>
  </si>
  <si>
    <t>15 ч. 25 мин. 2022.01.30</t>
  </si>
  <si>
    <t>21ч. 38 мин. 01.01.2022</t>
  </si>
  <si>
    <t>14 ч.10 мин. 2022.01.02</t>
  </si>
  <si>
    <t>00 ч. 30 мин. 2022.01.03</t>
  </si>
  <si>
    <t>20 ч.50 мин. 2022.01.03</t>
  </si>
  <si>
    <t>20 ч. 50 мин.  2022.01.03</t>
  </si>
  <si>
    <t>22 ч. 15 мин. 2022.01.03</t>
  </si>
  <si>
    <t>15 ч. 17 мин.  2022.01.05</t>
  </si>
  <si>
    <t>12 ч. 37 мин.  2022.01.06</t>
  </si>
  <si>
    <t>23 ч. 02 мин.  2022.01.06</t>
  </si>
  <si>
    <t>19 ч. 43 мин.  2022.01.06</t>
  </si>
  <si>
    <t>14 ч. 06 мин. 2022.01.07</t>
  </si>
  <si>
    <t>18 ч. 27 мин. 2022.01.07</t>
  </si>
  <si>
    <t>15 ч. 43 мин. 2022.01.07</t>
  </si>
  <si>
    <t>19 ч. 40 мин. 2022.01.07</t>
  </si>
  <si>
    <t>22 ч. 40 мин. 2022.01.07</t>
  </si>
  <si>
    <t>02 ч. 27 мин. 2022.01.08</t>
  </si>
  <si>
    <t>01 ч. 20 мин.  2022.01.08</t>
  </si>
  <si>
    <t>02 ч. 29 мин. 2022.01.08</t>
  </si>
  <si>
    <t>03 ч. 36 мин.  2022.01.08</t>
  </si>
  <si>
    <t>10 ч. 30 мин.  2022.01.08</t>
  </si>
  <si>
    <t>15 ч. 59 мин. 2022.01.08</t>
  </si>
  <si>
    <t>15 ч. 08 мин. 2022.01.08</t>
  </si>
  <si>
    <t>13 ч. 27 мин. 2022.01.08</t>
  </si>
  <si>
    <t>19 ч. 05 мин.  2022.01.08</t>
  </si>
  <si>
    <t>17 ч. 35 мин. 2022.01.08</t>
  </si>
  <si>
    <t>21 ч. 01 мин. 2022.01.08</t>
  </si>
  <si>
    <t>05 ч. 53 мин. 2022.01.09</t>
  </si>
  <si>
    <t>11 ч. 30 мин. 2022.01.09</t>
  </si>
  <si>
    <t>13 ч. 15 мин. 2022.01.11</t>
  </si>
  <si>
    <t>16 ч. 21 мин. 2022.01.11</t>
  </si>
  <si>
    <t>21 ч. 10 мин. 2022.01.15</t>
  </si>
  <si>
    <t>21 ч. 30 мин.  2022.01.15</t>
  </si>
  <si>
    <t>01 ч. 18 мин.  2022.01.16</t>
  </si>
  <si>
    <t>05 ч. 15 мин.  2022.01.16</t>
  </si>
  <si>
    <t>02 ч. 22 мин.  2022.01.16</t>
  </si>
  <si>
    <t>04 ч. 18 мин. 2022.01.16</t>
  </si>
  <si>
    <t>05 ч. 05 мин. 2022.01.16</t>
  </si>
  <si>
    <t>09 ч.21 мин. 2022.01.16</t>
  </si>
  <si>
    <t>18 ч. 29 мин. 2022.01.16</t>
  </si>
  <si>
    <t>11 ч. 12 мин.  2022.01.17</t>
  </si>
  <si>
    <t>22 ч. 37 мин. 2022.01.17</t>
  </si>
  <si>
    <t>22 ч. 57 мин.  2022.01.17</t>
  </si>
  <si>
    <t>07 ч. 30 мин. 2022.01.18</t>
  </si>
  <si>
    <t>20 ч. 56 мин. 2022.01.21</t>
  </si>
  <si>
    <t>06 ч. 38 мин. 2022.01.24</t>
  </si>
  <si>
    <t>05 ч. 57 мин.  2022.01.25</t>
  </si>
  <si>
    <t>11 ч. 46 мин.  2022.01.25</t>
  </si>
  <si>
    <t>15 ч. 54 мин. 2022.01.25</t>
  </si>
  <si>
    <t>12 ч. 40 мин. 2022.01.26</t>
  </si>
  <si>
    <t>23 ч. 13 мин.  2022.01.27</t>
  </si>
  <si>
    <t>15ч. 58 мин. 2022.01.28</t>
  </si>
  <si>
    <t>16 ч. 05 мин. 2022.01.29</t>
  </si>
  <si>
    <t>15 ч. 20 мин. 2022.01.29</t>
  </si>
  <si>
    <t>17 ч. 15 мин. 2022.01.29</t>
  </si>
  <si>
    <t>18 ч. 41 мин. 2022.01.29</t>
  </si>
  <si>
    <t>20 ч. 41 мин. 2022.01.29</t>
  </si>
  <si>
    <t>22 ч. 12 мин. 2022.01.29</t>
  </si>
  <si>
    <t>13 ч. 11 мин. 2022.01.30</t>
  </si>
  <si>
    <t>18 ч. 16 мин. 2022.01.30</t>
  </si>
  <si>
    <t>02 ч. 50 мин. 2022.02.02</t>
  </si>
  <si>
    <t>11 ч. 03 мин. 2022.02.02</t>
  </si>
  <si>
    <t>17 ч. 12 мин.  2022.02.02</t>
  </si>
  <si>
    <t>20 ч. 23 мин.  2022.02.02</t>
  </si>
  <si>
    <t>17 ч. 30 мин. 2022.02.03</t>
  </si>
  <si>
    <t>22 ч. 17 мин. 2022.02.03</t>
  </si>
  <si>
    <t>23 ч. 37 мин. 2022.02.03</t>
  </si>
  <si>
    <t>05 ч. 10 мин.  2022.02.04</t>
  </si>
  <si>
    <t>11 ч. 26 мин. 2022.02.04</t>
  </si>
  <si>
    <t>06 ч. 04 мин. 2022.02.05</t>
  </si>
  <si>
    <t>10 ч. 10 мин. 2022.02.07</t>
  </si>
  <si>
    <t>16 ч. 42 мин.  2022.02.07</t>
  </si>
  <si>
    <t>01 ч. 46 мин. 2022.02.08</t>
  </si>
  <si>
    <t>14 ч. 40 мин. 2022.02.11</t>
  </si>
  <si>
    <t>21 ч. 30 мин. 2022.02.11</t>
  </si>
  <si>
    <t>13 ч. 37 мин.  2022.02.12</t>
  </si>
  <si>
    <t>16 ч. 41 мин.  2022.02.12</t>
  </si>
  <si>
    <t>16 ч. 30 мин. 2022.02.13</t>
  </si>
  <si>
    <t>19 ч. 50 мин.  2022.02.13</t>
  </si>
  <si>
    <t>10 ч. 09 мин.  2022.02.18</t>
  </si>
  <si>
    <t>07 ч. 45 мин. 2022.02.23</t>
  </si>
  <si>
    <t>11 ч. 40 мин. 2022.02.23</t>
  </si>
  <si>
    <t>13 ч. 47 мин.  2022.02.23</t>
  </si>
  <si>
    <t>16 ч. 22 мин. 2022.02.23</t>
  </si>
  <si>
    <t>18 ч. 14 мин. 2022.02.23</t>
  </si>
  <si>
    <t>20 ч. 15 мин. 2022.02.23</t>
  </si>
  <si>
    <t>00 ч. 21 мин. 2022.02.24</t>
  </si>
  <si>
    <t>14 ч. 58 мин.  2022.02.24</t>
  </si>
  <si>
    <t>14 ч. 56 мин. 2022.02.25</t>
  </si>
  <si>
    <t>20 ч. 49 мин. 2022.02.25</t>
  </si>
  <si>
    <t>13 ч. 07 мин. 2022.02.26</t>
  </si>
  <si>
    <t>16 ч. 25 мин. 2022.02.27</t>
  </si>
  <si>
    <t>12 ч. 53 мин.  2022.02.02</t>
  </si>
  <si>
    <t>17 ч. 50 мин. 2022.02.02</t>
  </si>
  <si>
    <t>23 ч. 26 мин. 2022.02.02</t>
  </si>
  <si>
    <t>19 ч. 23 мин. 2022.02.03</t>
  </si>
  <si>
    <t>02 ч. 49 мин. 2022.02.04</t>
  </si>
  <si>
    <t>02 ч. 01 мин. 2022.02.04</t>
  </si>
  <si>
    <t>08 ч. 58 мин. 2022.02.04</t>
  </si>
  <si>
    <t>12 ч. 49 мин. 2022.02.04</t>
  </si>
  <si>
    <t>07 ч. 20 мин. 2022.02.05</t>
  </si>
  <si>
    <t>10 ч. 39 мин. 2022.02.07</t>
  </si>
  <si>
    <t>22 ч. 51 мин. 2022.02.07</t>
  </si>
  <si>
    <t>01 ч. 59 мин. 2022.02.08</t>
  </si>
  <si>
    <t>16 ч. 17 мин. 2022.02.11</t>
  </si>
  <si>
    <t>22 ч. 15 мин. 2022.02.11</t>
  </si>
  <si>
    <t>17 ч. 49 мин.  2022.02.12</t>
  </si>
  <si>
    <t>16 ч. 54 мин. 2022.02.12</t>
  </si>
  <si>
    <t>18 ч. 15 мин. 2022.02.13</t>
  </si>
  <si>
    <t>20 ч. 58 мин. 2022.02.13</t>
  </si>
  <si>
    <t>11 ч. 08 мин.  2022.02.18</t>
  </si>
  <si>
    <t>14 ч. 40 мин.  2022.02.18</t>
  </si>
  <si>
    <t>11 ч. 01 мин. 2022.02.23</t>
  </si>
  <si>
    <t>12 ч. 21 мин.  2022.02.23</t>
  </si>
  <si>
    <t>14 ч. 48 мин. 2022.02.23</t>
  </si>
  <si>
    <t>17 ч. 00 мин. 2022.02.23</t>
  </si>
  <si>
    <t>18 ч. 50 мин. 2022.02.23</t>
  </si>
  <si>
    <t>21 ч. 13 мин. 2022.02.23</t>
  </si>
  <si>
    <t>01 ч. 18 мин. 2022.02.24</t>
  </si>
  <si>
    <t>19 ч. 30 мин. 2022.02.24</t>
  </si>
  <si>
    <t>15 ч. 43 мин. 2022.02.25</t>
  </si>
  <si>
    <t>23 ч. 30 мин. 2022.02.25</t>
  </si>
  <si>
    <t>15 ч. 26 мин.  2022.02.26</t>
  </si>
  <si>
    <t>16 ч. 58 мин. 2022.02.27</t>
  </si>
  <si>
    <t>11 ч. 27 мин. 2022.03.30</t>
  </si>
  <si>
    <t>11 ч. 04 мин.  2022.03.30</t>
  </si>
  <si>
    <t>12 ч. 49 мин.  2022.03.29</t>
  </si>
  <si>
    <t>12 ч. 56 мин. 2022.03.29</t>
  </si>
  <si>
    <t>11 ч. 40 мин. 2022.03.29</t>
  </si>
  <si>
    <t>15 ч. 58 мин. 2022.03.29</t>
  </si>
  <si>
    <t>16 ч. 15 мин. 2022.03.29</t>
  </si>
  <si>
    <t>15 ч. 00 мин. 2022.03.29</t>
  </si>
  <si>
    <t>08 ч. 00 мин. 2022.03.28</t>
  </si>
  <si>
    <t>19 ч. 10 мин. 2022.03.27</t>
  </si>
  <si>
    <t>22 ч. 13 мин. 2022.03.27</t>
  </si>
  <si>
    <t>18 ч. 00 мин.  2022.03.27</t>
  </si>
  <si>
    <t>19 ч. 30 мин. 2022.03.27</t>
  </si>
  <si>
    <t>18 ч. 00 мин. 2022.03.27</t>
  </si>
  <si>
    <t>12 ч. 51 мин. 2022.03.27</t>
  </si>
  <si>
    <t>03 ч. 40 мин. 2022.03.26</t>
  </si>
  <si>
    <t>19 ч. 10 мин. 2022.03.24</t>
  </si>
  <si>
    <t>22 ч. 20 мин. 2022.03.23</t>
  </si>
  <si>
    <t>13 ч. 35 мин. 2022.03.21</t>
  </si>
  <si>
    <t>09 ч. 30 мин. 2022.03.21</t>
  </si>
  <si>
    <t>11 ч. 15 мин. 2022.03.17</t>
  </si>
  <si>
    <t>01 ч. 57 мин. 2022.03.17</t>
  </si>
  <si>
    <t>21 ч. 59 мин. 2022.03.16</t>
  </si>
  <si>
    <t>20 ч. 58 мин. 2022.03.14</t>
  </si>
  <si>
    <t>10 ч. 20 мин. 2022.03.12</t>
  </si>
  <si>
    <t>09 ч. 09 мин. 2022.03.08</t>
  </si>
  <si>
    <t>22 ч. 19 мин. 2022.03.07</t>
  </si>
  <si>
    <t>15 ч. 28 мин. 2022.03.07</t>
  </si>
  <si>
    <t>12 ч. 15 мин. 2022.03.06</t>
  </si>
  <si>
    <t>14 ч. 10 мин. 2022.03.06</t>
  </si>
  <si>
    <t>11 ч. 30 мин. 2022.03.06</t>
  </si>
  <si>
    <t>11 ч. 38 мин. 2022.03.06</t>
  </si>
  <si>
    <t>21 ч. 25 мин. 2022.03.05</t>
  </si>
  <si>
    <t>12 ч. 20 мин. 2022.03.03</t>
  </si>
  <si>
    <t>16 ч. 38 мин. 2022.03.03</t>
  </si>
  <si>
    <t>19 ч. 22 мин. 2022.03.02</t>
  </si>
  <si>
    <t>10 ч. 20 мин. 2022.03.01</t>
  </si>
  <si>
    <t>14 ч. 44 мин. 2022.03.30</t>
  </si>
  <si>
    <t>12 ч. 17 мин. 2022.03.30</t>
  </si>
  <si>
    <t>19 ч. 39 мин. 2022.03.29</t>
  </si>
  <si>
    <t>12 ч. 34 мин. 2022.03.29</t>
  </si>
  <si>
    <t>18 ч. 10 мин. 2022.03.29</t>
  </si>
  <si>
    <t>17 ч. 50 мин. 2022.03.29</t>
  </si>
  <si>
    <t>17 ч. 48 мин. 2022.03.28</t>
  </si>
  <si>
    <t>22 ч. 35 мин.  2022.03.27</t>
  </si>
  <si>
    <t>23 ч. 12 мин. 2022.03.27</t>
  </si>
  <si>
    <t>20 ч. 53 мин. 2022.03.27</t>
  </si>
  <si>
    <t>21 ч. 10 мин. 2022.03.27</t>
  </si>
  <si>
    <t>22 ч. 37 мин.  2022.03.27</t>
  </si>
  <si>
    <t>14 ч. 25 мин.  2022.03.27</t>
  </si>
  <si>
    <t>18 ч. 11 мин.  2022.03.26</t>
  </si>
  <si>
    <t>21 ч. 19 мин. 2022.03.24</t>
  </si>
  <si>
    <t>01 ч. 03 мин. 2022.03.24</t>
  </si>
  <si>
    <t>14 ч. 43 мин. 2022.03.21</t>
  </si>
  <si>
    <t>11 ч. 09 мин. 2022.03.21</t>
  </si>
  <si>
    <t>14 ч. 00 мин. 2022.03.17</t>
  </si>
  <si>
    <t>05 ч. 30 мин. 2022.03.17</t>
  </si>
  <si>
    <t>22 ч. 16 мин. 2022.03.16</t>
  </si>
  <si>
    <t>22 ч. 51 мин. 2022.03.14</t>
  </si>
  <si>
    <t>14 ч. 06 мин. 2022.03.12</t>
  </si>
  <si>
    <t>11 ч. 50 мин. 2022.03.08</t>
  </si>
  <si>
    <t>03 ч. 02 мин. 2022.03.08</t>
  </si>
  <si>
    <t>21 ч. 12 мин. 2022.03.07</t>
  </si>
  <si>
    <t>18 ч. 52 мин. 2022.03.06</t>
  </si>
  <si>
    <t>14 ч. 50 мин. 2022.03.06</t>
  </si>
  <si>
    <t>14 ч. 05 мин. 2022.03.06</t>
  </si>
  <si>
    <t>12 ч. 48 мин. 2022.03.06</t>
  </si>
  <si>
    <t>12 ч. 03 мин. 2022.03.06</t>
  </si>
  <si>
    <t>00 ч. 41 мин. 2022.03.06</t>
  </si>
  <si>
    <t>18 ч. 50 мин. 2022.03.03</t>
  </si>
  <si>
    <t>15 ч. 12 мин. 2022.03.03</t>
  </si>
  <si>
    <t>21 ч. 10 мин. 2022.03.02</t>
  </si>
  <si>
    <t>12 ч. 42 мин. 2022.03.01</t>
  </si>
  <si>
    <t>2Т ТП-6</t>
  </si>
  <si>
    <t>11 ч. 46 мин. 2022.04.01</t>
  </si>
  <si>
    <t>17 ч. 49  мин. 2022.04.01</t>
  </si>
  <si>
    <t xml:space="preserve"> АВ-0,4 кВ Л-2 ТП-94</t>
  </si>
  <si>
    <t>15 ч. 35 мин.  2022.04.01</t>
  </si>
  <si>
    <t>16 ч. 23 мин. 2022.04.01</t>
  </si>
  <si>
    <t>ТП-61</t>
  </si>
  <si>
    <t>17 ч. 26 мин. 2022.04.01</t>
  </si>
  <si>
    <t>22 ч. 10 мин. 2022.04.01</t>
  </si>
  <si>
    <t xml:space="preserve"> АВ-0,4 кВ Л-2 ТП-9246</t>
  </si>
  <si>
    <t>20 ч. 22 мин.  2022.04.01</t>
  </si>
  <si>
    <t>21 ч. 10 мин.  2022.04.01</t>
  </si>
  <si>
    <t xml:space="preserve"> АВ-0,4 кВ Л-1 ТП-93</t>
  </si>
  <si>
    <t>10 ч. 41 мин.  2022.04.02</t>
  </si>
  <si>
    <t>11 ч. 01 мин. 2022.04.02</t>
  </si>
  <si>
    <t xml:space="preserve"> АВ-0,4 кВ Л-3 ТП-9999</t>
  </si>
  <si>
    <t>20 ч. 15 мин.  2022.04.02</t>
  </si>
  <si>
    <t>21 ч. 12 мин.  2022.04.02</t>
  </si>
  <si>
    <t xml:space="preserve">В-10 Ф-8 ПС Иглино-тяговая </t>
  </si>
  <si>
    <t>09 ч. 50 мин.  2022.04.05</t>
  </si>
  <si>
    <t>14 ч. 11 мин.  2022.04.05</t>
  </si>
  <si>
    <t xml:space="preserve">В-10 Ф-15 ПС Нагаево </t>
  </si>
  <si>
    <t>12 ч. 19 мин.  2022.04.06</t>
  </si>
  <si>
    <t>12 ч. 21 мин. 2022.04.06</t>
  </si>
  <si>
    <t>В-10 Ф-14 ПС Нагаево</t>
  </si>
  <si>
    <t>12 ч. 46 мин.  2022.04.06</t>
  </si>
  <si>
    <t>14 ч. 46 мин.  2022.04.06</t>
  </si>
  <si>
    <t>н.п. Улк-Теляк</t>
  </si>
  <si>
    <t xml:space="preserve">В-10 яч.31  Ф-Жил.поселок Т-2  ЗРУ-10  ЛПДС Улу-Теляк  </t>
  </si>
  <si>
    <t>12 ч. 28 мин.  2022.04.07</t>
  </si>
  <si>
    <t>18 ч. 21 мин.  2022.04.07</t>
  </si>
  <si>
    <t>12 ч. 29 мин.  2022.04.07</t>
  </si>
  <si>
    <t>13 ч. 32 мин.  2022.04.07</t>
  </si>
  <si>
    <t xml:space="preserve">ТП-12 </t>
  </si>
  <si>
    <t>14 ч. 43 мин.  2022.04.08</t>
  </si>
  <si>
    <t>16 ч.38 мин.  2022.04.08</t>
  </si>
  <si>
    <t>14 ч. 48 мин. 2022.04.08</t>
  </si>
  <si>
    <t>17 ч. 39 мин.  2022.04.08</t>
  </si>
  <si>
    <t>Б. Куганак</t>
  </si>
  <si>
    <t xml:space="preserve"> Р-0,4 кВ Л-2 ТП-2384</t>
  </si>
  <si>
    <t>21 ч. 05 мин. 2022.04.08</t>
  </si>
  <si>
    <t>06 ч. 22 мин.  2022.04.09</t>
  </si>
  <si>
    <t>1Т  ТП-86</t>
  </si>
  <si>
    <t>22 ч. 30 мин.  2022.04.08</t>
  </si>
  <si>
    <t>01 ч. 14 мин.  2022.04.09</t>
  </si>
  <si>
    <t>н.п. Ушаково</t>
  </si>
  <si>
    <t xml:space="preserve">ВЛ-10 яч.31  Ф-Ясный   ПС НСП  </t>
  </si>
  <si>
    <t>15 ч. 59 мин. 2022.04.09</t>
  </si>
  <si>
    <t>21 ч. 45 мин.  2022.04.09</t>
  </si>
  <si>
    <t>12 ч. 00  мин. 2022.04.11</t>
  </si>
  <si>
    <t>13 ч. 48 мин.  2022.04.11</t>
  </si>
  <si>
    <t>В-10 Ф-404 РП-Вятка</t>
  </si>
  <si>
    <t>14 ч. 20 мин. 2022.04.14</t>
  </si>
  <si>
    <t>18 ч. 30 мин.  2022.04.14</t>
  </si>
  <si>
    <t xml:space="preserve"> АВ-0,4 кВ Л-1 ТП-34</t>
  </si>
  <si>
    <t>06 ч. 09 мин. 2022.04.15</t>
  </si>
  <si>
    <t>10 ч. 28 мин.  2022.04.15</t>
  </si>
  <si>
    <t xml:space="preserve"> АВ-0,4 кВ Л-2 ТП-21</t>
  </si>
  <si>
    <t>17 ч. 47 мин.  2022.04.15</t>
  </si>
  <si>
    <t>19 ч. 15 мин.  2022.04.15</t>
  </si>
  <si>
    <t>В-10 Ф-359 ПС-Минзитарово</t>
  </si>
  <si>
    <t>19 ч. 35 мин.  2022.04.15</t>
  </si>
  <si>
    <t>20 ч. 51 мин.  2022.04.15</t>
  </si>
  <si>
    <t xml:space="preserve"> АВ-0,4 кВ Л-1 ТП-106</t>
  </si>
  <si>
    <t>21 ч. 23 мин.  2022.04.15</t>
  </si>
  <si>
    <t>22 ч. 53 мин. 2022.04.15</t>
  </si>
  <si>
    <t xml:space="preserve">В-6 Ф-13 ПС - Максимовка </t>
  </si>
  <si>
    <t>19 ч. 20 мин. 2022.04.16</t>
  </si>
  <si>
    <t>21 ч. 58 мин. 2022.04.16</t>
  </si>
  <si>
    <t>н.п. Булгаково</t>
  </si>
  <si>
    <t>В-10 Ф-13 ПС - Булгаково</t>
  </si>
  <si>
    <t>03 ч. 14 мин.  2022.04.16</t>
  </si>
  <si>
    <t>03 ч. 15 мин.  2022.04.16</t>
  </si>
  <si>
    <t xml:space="preserve"> 1Т ТП-106</t>
  </si>
  <si>
    <t>05 ч. 40 мин.  2022.04.16</t>
  </si>
  <si>
    <t>16 ч. 40 мин.  2022.04.16</t>
  </si>
  <si>
    <t xml:space="preserve">В-6 Ф-9-29 ПС - Подгорная </t>
  </si>
  <si>
    <t>04 ч. 20 мин.  2022.04.17</t>
  </si>
  <si>
    <t>08 ч. 17 мин.  2022.04.17</t>
  </si>
  <si>
    <t>10 ч. 02 мин.  2022.04.18</t>
  </si>
  <si>
    <t>10 ч. 11 мин.  2022.04.18</t>
  </si>
  <si>
    <t>В-10 Ф-14 ПС - Булгаково</t>
  </si>
  <si>
    <t>13 ч. 15 мин.  2022.04.19</t>
  </si>
  <si>
    <t>13 ч. 39 мин.  2022.04.19</t>
  </si>
  <si>
    <t xml:space="preserve"> ВЛ-0,4 кВ Л-4 ТП-75</t>
  </si>
  <si>
    <t>13 ч. 23 мин.  2022.04.20</t>
  </si>
  <si>
    <t>16 ч. 12 мин.  2022.04.20</t>
  </si>
  <si>
    <t>АВ-0,4кВ Л-1 ТП-121</t>
  </si>
  <si>
    <t>22 ч. 48 мин. 2022.04.20</t>
  </si>
  <si>
    <t>02 ч. 58 мин.  2022.04.21</t>
  </si>
  <si>
    <t>Р-0,4кВ 1Т ТП-121</t>
  </si>
  <si>
    <t>23 ч. 42 мин. 2022.04.20</t>
  </si>
  <si>
    <t>22 ч. 35 мин. 2022.04.20</t>
  </si>
  <si>
    <t>22 ч. 55 мин. 2022.04.20</t>
  </si>
  <si>
    <t>н.п. Чесноковка</t>
  </si>
  <si>
    <t>В-10кВ ф.9 РП-908</t>
  </si>
  <si>
    <t>13 ч. 15 мин.  2022.04.21</t>
  </si>
  <si>
    <t>14 ч. 47 мин.  2022.04.21</t>
  </si>
  <si>
    <t>14 ч. 20 мин.  2022.04.21</t>
  </si>
  <si>
    <t>15 ч. 45 мин.  2022.04.21</t>
  </si>
  <si>
    <t xml:space="preserve"> АВ-0,4 кВ Л-5 ТП-5</t>
  </si>
  <si>
    <t>13 ч. 10 мин. 2022.04.22</t>
  </si>
  <si>
    <t>13 ч. 55 мин.  2022.04.22</t>
  </si>
  <si>
    <t xml:space="preserve"> АВ-0,4 кВ Л-4 ТП-11</t>
  </si>
  <si>
    <t>22 ч. 31 мин. 2022.04.23</t>
  </si>
  <si>
    <t>23 ч. 03 мин.  2022.04.23</t>
  </si>
  <si>
    <t>СМВ-1 Ф-8 Лобово ПС Минзитарово</t>
  </si>
  <si>
    <t>10 ч. 57 мин.  2022.04.24</t>
  </si>
  <si>
    <t>14 ч. 11 мин.  2022.04.24</t>
  </si>
  <si>
    <t>15 ч. 33 мин.  2022.04.26</t>
  </si>
  <si>
    <t>16 ч. 17 мин. 2022.04.26</t>
  </si>
  <si>
    <t>АВ-0,4кВ Л-4 ТП-74</t>
  </si>
  <si>
    <t>12 ч. 25 мин. 2022.04.27</t>
  </si>
  <si>
    <t>13 ч. 43 мин. 2022.04.27</t>
  </si>
  <si>
    <t>АВ-0,4кВ Л-2 ТП-18</t>
  </si>
  <si>
    <t>13 ч. 32 мин.  2022.04.27</t>
  </si>
  <si>
    <t>14 ч. 25 мин. 2022.04.27</t>
  </si>
  <si>
    <t>1Т ТП-93</t>
  </si>
  <si>
    <t>14 ч. 28 мин. 2022.04.27</t>
  </si>
  <si>
    <t>20 ч. 58 мин. 2022.04.27</t>
  </si>
  <si>
    <t>19 ч. 06 мин.   2022.04.27</t>
  </si>
  <si>
    <t>04 ч. 45 мин. 2022.04.28</t>
  </si>
  <si>
    <t>00 ч. 05 2022.04.28</t>
  </si>
  <si>
    <t>12,09 2022.04.28</t>
  </si>
  <si>
    <t>АВ-0,4кВ Л-2 ТП-4332</t>
  </si>
  <si>
    <t>08 ч. 17 мин. 2022.04.28</t>
  </si>
  <si>
    <t>10 ч. 20 мин.  2022.04.28</t>
  </si>
  <si>
    <t>В-10 Ф-7 ПС Тавтиманово</t>
  </si>
  <si>
    <t>16 ч. 49 мин.  2022.04.28</t>
  </si>
  <si>
    <t>17 ч. 42 мин.  2022.04.28</t>
  </si>
  <si>
    <t xml:space="preserve">АВ-0,4кВ Л-2 ТП-35   </t>
  </si>
  <si>
    <t>17 ч. 23 мин.  2022.04.28</t>
  </si>
  <si>
    <t>19 ч. 21 мин.  2022.04.28</t>
  </si>
  <si>
    <t>1сек.ш 10кВ ПС Электрозаводская</t>
  </si>
  <si>
    <t>13 ч. 58 мин. 2022.04.29</t>
  </si>
  <si>
    <t>14 ч. 30 мин.  2022.04.29</t>
  </si>
  <si>
    <t xml:space="preserve">АВ-0,4кВ Л-3 ТП-9951   </t>
  </si>
  <si>
    <t>20 ч. 05 мин.  2022.04.30</t>
  </si>
  <si>
    <t>21 ч. 24 мин.  2022.04.30</t>
  </si>
  <si>
    <t>н.п. Уфа</t>
  </si>
  <si>
    <t xml:space="preserve">1Р-0,4кВ РУ-0,4 ТП-5205   </t>
  </si>
  <si>
    <t>14 ч. 55 мин.  2022.05.01</t>
  </si>
  <si>
    <t>17 ч. 16 мин. 2022.05.01</t>
  </si>
  <si>
    <t xml:space="preserve">В-6кВ  Ф-Ясный   ПС НСП-1 </t>
  </si>
  <si>
    <t>12 ч. 50 мин. 2022.05.03</t>
  </si>
  <si>
    <t>14 ч. 42 мин. 2022.05.03</t>
  </si>
  <si>
    <t xml:space="preserve">н.п. Иглино </t>
  </si>
  <si>
    <t>09 ч. 08 мин. 2022.05.04</t>
  </si>
  <si>
    <t>12 ч. 57 мин. 2022.05.04</t>
  </si>
  <si>
    <t xml:space="preserve">АВ-0,4кВ Л-2 ТП-121  </t>
  </si>
  <si>
    <t>12 ч. 00 мин. 2022.05.04</t>
  </si>
  <si>
    <t>15 ч. 00 мин.  2022.05.04</t>
  </si>
  <si>
    <t xml:space="preserve">АВ-0,4кВ Л-2 ТП-88 </t>
  </si>
  <si>
    <t>14 ч. 05 мин. 2022.05.04</t>
  </si>
  <si>
    <t>15 ч. 36 мин. 2022.05.04</t>
  </si>
  <si>
    <t xml:space="preserve">В-0,4 кВ Л-1 ТП-4318    </t>
  </si>
  <si>
    <t>11 ч. 00 мин. 2022.05.05</t>
  </si>
  <si>
    <t>15 ч. 00 мин. 2022.05.05</t>
  </si>
  <si>
    <t>В-10кВ ф.8 ПС      Иглино</t>
  </si>
  <si>
    <t>11 ч. 47 мин. 2022.05.05</t>
  </si>
  <si>
    <t>13 ч. 30 мин. 2022.05.05</t>
  </si>
  <si>
    <t xml:space="preserve">В-10кВ ф.7 ПС Кудеевка    </t>
  </si>
  <si>
    <t>12 ч. 00 мин. 2022.05.05</t>
  </si>
  <si>
    <t>15 ч. 04 мин. 2022.05.05</t>
  </si>
  <si>
    <t>В-10кВ ф.Жил.Поселок РП-БКЗ</t>
  </si>
  <si>
    <t>17 ч. 10 мин. 2022.05.05</t>
  </si>
  <si>
    <t>н.п. Максимовка</t>
  </si>
  <si>
    <t xml:space="preserve">В-10кВ ф.13 ПС Максимовка    </t>
  </si>
  <si>
    <t>14 ч. 09 мин. 2022.05.05</t>
  </si>
  <si>
    <t>14 ч. 10 мин. 2022.05.05</t>
  </si>
  <si>
    <t>14 ч. 22 мин. 2022.05.05</t>
  </si>
  <si>
    <t>16 ч. 17 мин. 2022.05.05</t>
  </si>
  <si>
    <t xml:space="preserve">В-10кВ ф.84 ПС Минзитарово    </t>
  </si>
  <si>
    <t>15 ч. 12 мин. 2022.05.05</t>
  </si>
  <si>
    <t>В-10кВ ф.5 ПС      Тавтиманово</t>
  </si>
  <si>
    <t>15 ч. 21 мин. 2022.05.05</t>
  </si>
  <si>
    <t>17 ч. 26 мин. 2022.05.05</t>
  </si>
  <si>
    <t>22 ч. 00 мин. 2022.05.05</t>
  </si>
  <si>
    <t>00 ч. 33 мин. 2022.05.06</t>
  </si>
  <si>
    <t xml:space="preserve">АВ-0,4кВ Л-2 ТП-05263  </t>
  </si>
  <si>
    <t>10 ч. 41 мин. 2022.05.06</t>
  </si>
  <si>
    <t>13 ч. 11 мин.  2022.05.06</t>
  </si>
  <si>
    <t>В-10       Ф-21 ПС Газпровод</t>
  </si>
  <si>
    <t>14 ч. 44 мин. 2022.05.06</t>
  </si>
  <si>
    <t>14 ч. 51 мин. 2022.05.06</t>
  </si>
  <si>
    <t>17 ч. 30 мин.  2022.05.06</t>
  </si>
  <si>
    <t>ВЛ-0,4    Л-3 ТП-9</t>
  </si>
  <si>
    <t>17 ч. 47 мин. 2022.05.06</t>
  </si>
  <si>
    <t>18 ч. 23 мин. 2022.05.06</t>
  </si>
  <si>
    <t xml:space="preserve">ВЛ-10 кВ ф-404 РП Вятка </t>
  </si>
  <si>
    <t>10 ч. 50 мин.  2022.05.07</t>
  </si>
  <si>
    <t>12 ч. 09 мин. 2022.05.07</t>
  </si>
  <si>
    <t xml:space="preserve">ВЛ-10 кВ ф-7  ПС Тавтиманово    </t>
  </si>
  <si>
    <t>10 ч. 50 мин. 2022.05.07</t>
  </si>
  <si>
    <t>12 ч. 47 мин. 2022.05.07</t>
  </si>
  <si>
    <t xml:space="preserve">ВЛ-10 кВ ф-8 Лобово-Минзитарово     </t>
  </si>
  <si>
    <t>12 ч. 47 мин.  2022.05.07</t>
  </si>
  <si>
    <t>АВ-0,4кВ Л-2 ТП-96</t>
  </si>
  <si>
    <t>14 ч. 01 мин. 2022.05.11</t>
  </si>
  <si>
    <t>15 ч. 25 мин. 2022.05.11</t>
  </si>
  <si>
    <t>ВЛ-0,4    Л-1 ТП-93</t>
  </si>
  <si>
    <t>17 ч. 35 мин.  2022.05.11</t>
  </si>
  <si>
    <t>21 ч. 05 мин. 2022.05.11</t>
  </si>
  <si>
    <t xml:space="preserve">ВЛ-10 кВ ф-7  ПС Иглино   </t>
  </si>
  <si>
    <t>10 ч. 49 мин. 2022.05.12</t>
  </si>
  <si>
    <t>15 ч. 49 мин. 2022.05.12</t>
  </si>
  <si>
    <t>1Т ТП-119 Ф.400 РП Карамалы</t>
  </si>
  <si>
    <t>16 ч. 30 мин. 2022.05.12</t>
  </si>
  <si>
    <t>11 ч. 58 мин. 2022.05.13</t>
  </si>
  <si>
    <t xml:space="preserve">ВЛ-10 кВ ф-400 РП Карамалы   </t>
  </si>
  <si>
    <t>17 ч. 06 мин. 2022.05.12</t>
  </si>
  <si>
    <t>1Т ТП-05263</t>
  </si>
  <si>
    <t>12 ч. 33 мин. 2022.05.13</t>
  </si>
  <si>
    <t>В-10 кВ ф-404 РП Вятка</t>
  </si>
  <si>
    <t>15 ч. 14 мин. 2022.05.13</t>
  </si>
  <si>
    <t>18 ч. 15 мин. 2022.05.13</t>
  </si>
  <si>
    <t xml:space="preserve"> ТП-98 ф-4  ПС Иглино   </t>
  </si>
  <si>
    <t>00 ч. 17 мин. 2022.05.14</t>
  </si>
  <si>
    <t>04 ч. 55 мин. 2022.05.14</t>
  </si>
  <si>
    <t xml:space="preserve">В-10 кВ ф-4  ПС Иглино   </t>
  </si>
  <si>
    <t>04 ч. 04 мин. 2022.05.14</t>
  </si>
  <si>
    <t xml:space="preserve">ВЛ-10 Ф-10 РП-409 </t>
  </si>
  <si>
    <t>10 ч. 18 мин.  2022.05.14</t>
  </si>
  <si>
    <t>14 ч. 12 мин.  2022.05.14</t>
  </si>
  <si>
    <t>АВ-0,4кВ Л-1 ТП-2146  Ф-19 ПС Порошковая</t>
  </si>
  <si>
    <t>10 ч. 38 мин. 2022.05.14</t>
  </si>
  <si>
    <t>12 ч. 35 мин. 2022.05.14</t>
  </si>
  <si>
    <t xml:space="preserve">ВЛ-10 Ф-4 ПС Тавтиманово </t>
  </si>
  <si>
    <t>16 ч. 17 мин. 2022.05.14</t>
  </si>
  <si>
    <t>18 ч. 31 мин. 2022.05.14</t>
  </si>
  <si>
    <t xml:space="preserve"> 1Т ТП-52</t>
  </si>
  <si>
    <t>14 ч. 57 мин. 2022.05.15</t>
  </si>
  <si>
    <t>18 ч. 00 мин.  2022.05.15</t>
  </si>
  <si>
    <t>ТП-18</t>
  </si>
  <si>
    <t>20 ч. 30 мин. 2022.05.16</t>
  </si>
  <si>
    <t>22 ч. 19 мин. 2022.05.16</t>
  </si>
  <si>
    <t>21 ч. 25 мин. 2022.05.17</t>
  </si>
  <si>
    <t>21 ч. 56 мин. 2022.05.17</t>
  </si>
  <si>
    <t xml:space="preserve">ВЛ-10 Ф-22 ПС Наумовка-КРС </t>
  </si>
  <si>
    <t>06 ч. 55 мин. 2022.05.19</t>
  </si>
  <si>
    <t xml:space="preserve"> ТП-4 ф-4  ПС Иглино   </t>
  </si>
  <si>
    <t>16 ч. 10 мин. 2022.05.19</t>
  </si>
  <si>
    <t>17 ч. 40 мин. 2022.05.19</t>
  </si>
  <si>
    <t>Пчелосовхоз</t>
  </si>
  <si>
    <t xml:space="preserve">В-10 кВ Ф-19 ПС Красноусольск Курорт  </t>
  </si>
  <si>
    <t>21 ч. 25 мин. 2022.05.19</t>
  </si>
  <si>
    <t>06 ч. 22 мин. 2022.05.20</t>
  </si>
  <si>
    <t>АВ-0,4кВ Л-2 ТП-9951</t>
  </si>
  <si>
    <t>13 ч. 50 мин.  2022.05.21</t>
  </si>
  <si>
    <t>14 ч. 42 мин.  2022.05.21</t>
  </si>
  <si>
    <t>АВ-0,4кВ   Л-2 ТП-62</t>
  </si>
  <si>
    <t>13 ч. 42 мин. 2022.05.22</t>
  </si>
  <si>
    <t>16 ч. 03 мин. 2022.05.22</t>
  </si>
  <si>
    <t>1Т ТП-18 Ф-7 ПС Тавтиманово</t>
  </si>
  <si>
    <t>17 ч. 31 мин. 2022.05.22</t>
  </si>
  <si>
    <t>19 ч. 15 мин.  2022.05.22</t>
  </si>
  <si>
    <t xml:space="preserve">Зубово </t>
  </si>
  <si>
    <t>ТП-01786</t>
  </si>
  <si>
    <t>18 ч. 13 мин. 2022.05.23</t>
  </si>
  <si>
    <t>19 ч. 27 мин. 2022.05.23</t>
  </si>
  <si>
    <t>Шакша</t>
  </si>
  <si>
    <t>12 ч. 44 мин. 2022.05.24</t>
  </si>
  <si>
    <t>15 ч. 59 мин. 2022.05.24</t>
  </si>
  <si>
    <t>Кумертау</t>
  </si>
  <si>
    <t>ТП-7217</t>
  </si>
  <si>
    <t>14 ч. 50 мин. 2022.05.24</t>
  </si>
  <si>
    <t>19 ч. 50 мин. 2022.05.24</t>
  </si>
  <si>
    <t>ТП-2146</t>
  </si>
  <si>
    <t>18 ч. 38 мин. 2022.05.24</t>
  </si>
  <si>
    <t>00 ч. 03 мин. 2022.05.25</t>
  </si>
  <si>
    <t>ПС Минзитарово      ВЛ-10 Ф-8</t>
  </si>
  <si>
    <t>18 ч. 55 мин.  2022.05.24</t>
  </si>
  <si>
    <t>21 ч. 40 мин.  2022.05.24</t>
  </si>
  <si>
    <t>Стерлитамак</t>
  </si>
  <si>
    <t xml:space="preserve">АВ-0,4кВ Л-2 ТП-463  </t>
  </si>
  <si>
    <t>10 ч. 30 мин. 2022.05.25</t>
  </si>
  <si>
    <t>12 ч. 47 мин. 2022.05.25</t>
  </si>
  <si>
    <t>21 ч. 37 мин. 2022.05.25</t>
  </si>
  <si>
    <t>01 ч. 06 мин.  2022.05.26</t>
  </si>
  <si>
    <t xml:space="preserve">В-10  ф-7  ПС Тавтиманово    </t>
  </si>
  <si>
    <t>02 ч. 56 мин. 2022.05.26</t>
  </si>
  <si>
    <t>04 ч. 10 мин. 2022.05.26</t>
  </si>
  <si>
    <t>В-10  ф-388 РП Карамалы</t>
  </si>
  <si>
    <t>13 ч. 37 мин. 2022.05.26</t>
  </si>
  <si>
    <t>15 ч. 59 мин. 2022.05.26</t>
  </si>
  <si>
    <t>АВ-0,4кВ   Л-2 ТП-116</t>
  </si>
  <si>
    <t>22 ч. 05 мин. 2022.05.26</t>
  </si>
  <si>
    <t>23 ч. 00 мин. 2022.05.26</t>
  </si>
  <si>
    <t xml:space="preserve">1Т ТП-01696    </t>
  </si>
  <si>
    <t>08 ч. 20 мин.  2022.05.28</t>
  </si>
  <si>
    <t>10 ч. 15 мин. 2022.05.28</t>
  </si>
  <si>
    <t>В-10  Ф-400 РП Карамалы</t>
  </si>
  <si>
    <t>09 ч. 21 мин. 2022.05.28</t>
  </si>
  <si>
    <t>09 ч. 25 мин. 2022.05.28</t>
  </si>
  <si>
    <t>06 ч. 04 мин. 2022.05.28</t>
  </si>
  <si>
    <t>11 ч. 23 мин. 2022.05.28</t>
  </si>
  <si>
    <t xml:space="preserve">Р-0,4кВ 1Т ТП-9949    </t>
  </si>
  <si>
    <t>12 ч. 28 мин.  2022.05.28</t>
  </si>
  <si>
    <t>14 ч. 09 мин. 2022.05.28</t>
  </si>
  <si>
    <t>03 ч. 54 мин. 2022.05.29</t>
  </si>
  <si>
    <t>06 ч. 06 мин. 2022.05.29</t>
  </si>
  <si>
    <t>АВ-0,4кВ Л-1 ТП-2589</t>
  </si>
  <si>
    <t>20 ч. 00 мин.  2022.05.30</t>
  </si>
  <si>
    <t>21 ч. 05 мин. 2022.05.30</t>
  </si>
  <si>
    <t>АВ-0,4кВ Л-2 ТП-21</t>
  </si>
  <si>
    <t>18 ч. 15 мин. 2022.05.30</t>
  </si>
  <si>
    <t>20 ч. 45 мин. 2022.05.30</t>
  </si>
  <si>
    <t>АВ-0,4кВ Л-2 ТП-7</t>
  </si>
  <si>
    <t>15 ч. 58 мин.  2022.05.30</t>
  </si>
  <si>
    <t>16 ч. 11 мин. 2022.05.30</t>
  </si>
  <si>
    <t>Улу-теляк</t>
  </si>
  <si>
    <t>Ф-8 ЗРУ-10 ЛПДС Улу-Теляк</t>
  </si>
  <si>
    <t>09 ч. 38 мин. 2022.05.31</t>
  </si>
  <si>
    <t>ПО "СЭС" ГУП "РЭС" РБ</t>
  </si>
  <si>
    <t>г. Нефтекамск</t>
  </si>
  <si>
    <t>ПС 35/6 Нефтекамск 1 и 2 с.ш</t>
  </si>
  <si>
    <t>11.01.2022 08ч 09мин</t>
  </si>
  <si>
    <t>Фидер №24 ПС Монтажная</t>
  </si>
  <si>
    <t>23.02.2022 08ч 29мин</t>
  </si>
  <si>
    <t>23.02.2022 09ч 25мин.</t>
  </si>
  <si>
    <t>Фидер №9 ПС Зенит</t>
  </si>
  <si>
    <t>27.02.2022 20ч 39мин</t>
  </si>
  <si>
    <t>27.02.2022 21ч 18мин</t>
  </si>
  <si>
    <t>фидер №26 ПС Искож</t>
  </si>
  <si>
    <t>28.03.2022 15ч 24мин</t>
  </si>
  <si>
    <t>28.03.2022 16ч 27мин</t>
  </si>
  <si>
    <t>Фидер №6 ПС 110/35/6 кВ Михайловка</t>
  </si>
  <si>
    <t>14.04.2022 13ч 47мин</t>
  </si>
  <si>
    <t>14.04.2022 14ч 35мин</t>
  </si>
  <si>
    <t>Фидер №34 ПС 110 кВ Сахарный завод</t>
  </si>
  <si>
    <t>21.04.2022 13ч 32мин</t>
  </si>
  <si>
    <t>21.04.2022 14ч 26мин</t>
  </si>
  <si>
    <t>Фидер №13 ПС Монтажная</t>
  </si>
  <si>
    <t>21.04.2022 15ч 07мин</t>
  </si>
  <si>
    <t>Фидер №20 ПС 110/10 Киргиз-Мияки</t>
  </si>
  <si>
    <t>25.04.2022 07ч 42мин</t>
  </si>
  <si>
    <t>25.04.2022 16ч 10мин</t>
  </si>
  <si>
    <t xml:space="preserve">АВ-0,4кВ ф. ул.Родниковая нечетная с КТП 2411 
</t>
  </si>
  <si>
    <t>30.04.2022 10ч 30мин</t>
  </si>
  <si>
    <t>30.04.2022 11ч 55мин</t>
  </si>
  <si>
    <t>69.58</t>
  </si>
  <si>
    <t>Ф-15 п/с Искож</t>
  </si>
  <si>
    <t>06.05.2022 05ч 05мин</t>
  </si>
  <si>
    <t>06.05.2022 06ч 57мин</t>
  </si>
  <si>
    <t>Вл-6 кВ ф-5 п/с Монтажная</t>
  </si>
  <si>
    <t>06.05.2022 09ч 25мин</t>
  </si>
  <si>
    <t>06.05.2022 09ч 32мин</t>
  </si>
  <si>
    <t>ВЛ 6 кВ ф - 5 ПС Монтажная</t>
  </si>
  <si>
    <t>09.05.2022 06ч 53мин</t>
  </si>
  <si>
    <t>09.05.2022 08ч 47мин</t>
  </si>
  <si>
    <t>ВЛ 6кВ ф -24 ПС Монтажная</t>
  </si>
  <si>
    <t>09.05.2022 08ч 54мин</t>
  </si>
  <si>
    <t>Ф-13 ПС Нефтекамск</t>
  </si>
  <si>
    <t>12.05.2022 17ч 17мин</t>
  </si>
  <si>
    <t>12.05.2022 20ч 00мин</t>
  </si>
  <si>
    <t>ф-13 ПС Нефтекамск</t>
  </si>
  <si>
    <t>13.05.2022 05ч 13мин</t>
  </si>
  <si>
    <t>13.05.2022 07ч 22мин</t>
  </si>
  <si>
    <t>ПС Михайловка II с.ш. ф.:6,8,10,12,14,22,24,26,28,30,32</t>
  </si>
  <si>
    <t>25.05.2022 05ч 25мин</t>
  </si>
  <si>
    <t>ПС 35/6 кВ Нефтекамск II с.ш. ф.:12,14</t>
  </si>
  <si>
    <t>ПС 35/6 кВ Николо-Березовка II с.ш. ф.:11,16,21</t>
  </si>
  <si>
    <t>ПС 110/6 кВ Искож III и IV с.ш. ф.:10,11,15,17,19,51</t>
  </si>
  <si>
    <t>КЛ-6 кВ фидер №17 ПС 110/6 Искож с ТП-1706-ТП-1704</t>
  </si>
  <si>
    <t>27.05.2022 10ч 02мин</t>
  </si>
  <si>
    <t>27.05.2022 14ч 40мин</t>
  </si>
  <si>
    <t>ф-21 ПС Н.Березовка</t>
  </si>
  <si>
    <t>28.05.2022 03ч 20мин</t>
  </si>
  <si>
    <t>28.05.2022 04ч 00мин</t>
  </si>
  <si>
    <t>ПО "ЮЭС" ГУП "РЭС" РБ</t>
  </si>
  <si>
    <t>г. Белорецк</t>
  </si>
  <si>
    <t>Фидер Ф 49-23 ПС 110/6 кВ "Белая глина"</t>
  </si>
  <si>
    <t>26.02.2022  18ч06мин</t>
  </si>
  <si>
    <t>26.02.2022  20ч40мин</t>
  </si>
  <si>
    <t>ТП-59 ф 15 Ж\Д Крупской 46</t>
  </si>
  <si>
    <t>15.03.2022  10ч 30мин</t>
  </si>
  <si>
    <t>15.03.2022  12ч 15мин</t>
  </si>
  <si>
    <t xml:space="preserve">КВЛ 6кВ 5-09 ВПП-5 </t>
  </si>
  <si>
    <t>23.03.2022  14ч 10мин</t>
  </si>
  <si>
    <t>23.03.2022  16ч 55мин</t>
  </si>
  <si>
    <t xml:space="preserve">КВЛ 6кВ 5-11 ВПП-5 </t>
  </si>
  <si>
    <t>05.04.2022  12ч 43мин</t>
  </si>
  <si>
    <t>05.04.2022  14ч 45мин</t>
  </si>
  <si>
    <t>20.04.2022  09ч 53мин</t>
  </si>
  <si>
    <t>20.04.2022  10ч 33мин</t>
  </si>
  <si>
    <t xml:space="preserve"> 08ч 01мин                    11.01.2022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</si>
</sst>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8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/>
    </xf>
    <xf numFmtId="164" fontId="7" fillId="0" borderId="7" xfId="0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13" xfId="2"/>
    <cellStyle name="Обычный 14" xfId="3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"/>
  <sheetViews>
    <sheetView tabSelected="1" workbookViewId="0">
      <selection activeCell="L255" sqref="L255"/>
    </sheetView>
  </sheetViews>
  <sheetFormatPr defaultColWidth="9.140625" defaultRowHeight="15" x14ac:dyDescent="0.25"/>
  <cols>
    <col min="1" max="1" width="9.140625" style="38"/>
    <col min="2" max="2" width="5.5703125" style="11" customWidth="1"/>
    <col min="3" max="3" width="13.7109375" style="11" customWidth="1"/>
    <col min="4" max="4" width="15.5703125" style="11" customWidth="1"/>
    <col min="5" max="5" width="21.85546875" style="11" customWidth="1"/>
    <col min="6" max="6" width="29" style="11" customWidth="1"/>
    <col min="7" max="7" width="17" style="11" customWidth="1"/>
    <col min="8" max="8" width="16.85546875" style="11" customWidth="1"/>
    <col min="9" max="9" width="17.7109375" style="11" customWidth="1"/>
    <col min="10" max="10" width="27.28515625" style="11" customWidth="1"/>
    <col min="11" max="11" width="32.28515625" style="11" customWidth="1"/>
    <col min="12" max="12" width="17.140625" style="11" customWidth="1"/>
    <col min="13" max="13" width="17" style="11" customWidth="1"/>
    <col min="14" max="14" width="16.5703125" style="11" customWidth="1"/>
    <col min="15" max="15" width="60.85546875" style="11" customWidth="1"/>
    <col min="16" max="16" width="15.5703125" style="11" customWidth="1"/>
    <col min="17" max="16384" width="9.140625" style="11"/>
  </cols>
  <sheetData>
    <row r="1" spans="1:16" s="38" customFormat="1" x14ac:dyDescent="0.25"/>
    <row r="2" spans="1:16" x14ac:dyDescent="0.25">
      <c r="I2" s="71"/>
      <c r="J2" s="71"/>
    </row>
    <row r="3" spans="1:16" ht="12.75" customHeight="1" x14ac:dyDescent="0.25">
      <c r="I3" s="71"/>
      <c r="J3" s="71"/>
    </row>
    <row r="4" spans="1:16" ht="42.75" customHeight="1" x14ac:dyDescent="0.25">
      <c r="B4" s="72" t="s">
        <v>15</v>
      </c>
      <c r="C4" s="72"/>
      <c r="D4" s="72"/>
      <c r="E4" s="72"/>
      <c r="F4" s="72"/>
      <c r="G4" s="72"/>
      <c r="H4" s="72"/>
      <c r="I4" s="72"/>
      <c r="J4" s="72"/>
      <c r="K4" s="2"/>
      <c r="L4" s="2"/>
      <c r="M4" s="2"/>
      <c r="N4" s="2"/>
      <c r="O4" s="2"/>
      <c r="P4" s="2"/>
    </row>
    <row r="5" spans="1:16" ht="21.75" customHeight="1" x14ac:dyDescent="0.25">
      <c r="B5" s="12"/>
      <c r="C5" s="12"/>
      <c r="D5" s="12"/>
      <c r="E5" s="2"/>
      <c r="F5" s="2"/>
      <c r="G5" s="2"/>
      <c r="H5" s="12"/>
      <c r="I5" s="12"/>
      <c r="J5" s="12"/>
      <c r="K5" s="2"/>
      <c r="L5" s="2"/>
      <c r="M5" s="2"/>
      <c r="N5" s="2"/>
      <c r="O5" s="2"/>
      <c r="P5" s="2"/>
    </row>
    <row r="6" spans="1:16" ht="15.75" customHeight="1" x14ac:dyDescent="0.25"/>
    <row r="7" spans="1:16" ht="15.75" customHeight="1" x14ac:dyDescent="0.25">
      <c r="B7" s="70" t="s">
        <v>4</v>
      </c>
      <c r="C7" s="70" t="s">
        <v>0</v>
      </c>
      <c r="D7" s="70" t="s">
        <v>1</v>
      </c>
      <c r="E7" s="70" t="s">
        <v>2</v>
      </c>
      <c r="F7" s="70" t="s">
        <v>3</v>
      </c>
      <c r="G7" s="70" t="s">
        <v>5</v>
      </c>
      <c r="H7" s="70" t="s">
        <v>6</v>
      </c>
      <c r="I7" s="70" t="s">
        <v>8</v>
      </c>
      <c r="J7" s="70" t="s">
        <v>7</v>
      </c>
      <c r="K7" s="65"/>
      <c r="L7" s="65"/>
      <c r="M7" s="65"/>
      <c r="N7" s="65"/>
      <c r="O7" s="65"/>
      <c r="P7" s="65"/>
    </row>
    <row r="8" spans="1:16" ht="51.75" customHeight="1" x14ac:dyDescent="0.25">
      <c r="B8" s="70"/>
      <c r="C8" s="70"/>
      <c r="D8" s="70"/>
      <c r="E8" s="70"/>
      <c r="F8" s="70"/>
      <c r="G8" s="70"/>
      <c r="H8" s="70"/>
      <c r="I8" s="70"/>
      <c r="J8" s="70"/>
      <c r="K8" s="65"/>
      <c r="L8" s="65"/>
      <c r="M8" s="65"/>
      <c r="N8" s="65"/>
      <c r="O8" s="65"/>
      <c r="P8" s="65"/>
    </row>
    <row r="9" spans="1:16" s="26" customFormat="1" ht="57.75" customHeight="1" x14ac:dyDescent="0.25">
      <c r="A9" s="38"/>
      <c r="B9" s="69">
        <v>1</v>
      </c>
      <c r="C9" s="56" t="s">
        <v>46</v>
      </c>
      <c r="D9" s="56" t="s">
        <v>14</v>
      </c>
      <c r="E9" s="56" t="s">
        <v>102</v>
      </c>
      <c r="F9" s="56" t="s">
        <v>47</v>
      </c>
      <c r="G9" s="56" t="s">
        <v>235</v>
      </c>
      <c r="H9" s="56" t="s">
        <v>295</v>
      </c>
      <c r="I9" s="56">
        <v>1607.17</v>
      </c>
      <c r="J9" s="56" t="s">
        <v>167</v>
      </c>
      <c r="K9" s="65"/>
      <c r="L9" s="65"/>
      <c r="M9" s="65"/>
      <c r="N9" s="65"/>
      <c r="O9" s="65"/>
      <c r="P9" s="65"/>
    </row>
    <row r="10" spans="1:16" s="45" customFormat="1" ht="57.75" customHeight="1" x14ac:dyDescent="0.25">
      <c r="B10" s="69">
        <v>2</v>
      </c>
      <c r="C10" s="56" t="s">
        <v>46</v>
      </c>
      <c r="D10" s="56" t="s">
        <v>14</v>
      </c>
      <c r="E10" s="56" t="s">
        <v>103</v>
      </c>
      <c r="F10" s="56" t="s">
        <v>48</v>
      </c>
      <c r="G10" s="56" t="s">
        <v>236</v>
      </c>
      <c r="H10" s="56" t="s">
        <v>296</v>
      </c>
      <c r="I10" s="56">
        <v>506.02499999999998</v>
      </c>
      <c r="J10" s="56" t="s">
        <v>168</v>
      </c>
      <c r="K10" s="65"/>
      <c r="L10" s="65"/>
      <c r="M10" s="65"/>
      <c r="N10" s="65"/>
      <c r="O10" s="65"/>
      <c r="P10" s="65"/>
    </row>
    <row r="11" spans="1:16" s="37" customFormat="1" ht="57.75" customHeight="1" x14ac:dyDescent="0.25">
      <c r="A11" s="38"/>
      <c r="B11" s="69">
        <v>3</v>
      </c>
      <c r="C11" s="56" t="s">
        <v>46</v>
      </c>
      <c r="D11" s="56" t="s">
        <v>14</v>
      </c>
      <c r="E11" s="56" t="s">
        <v>104</v>
      </c>
      <c r="F11" s="56" t="s">
        <v>49</v>
      </c>
      <c r="G11" s="56" t="s">
        <v>237</v>
      </c>
      <c r="H11" s="56" t="s">
        <v>297</v>
      </c>
      <c r="I11" s="56">
        <v>506.02499999999998</v>
      </c>
      <c r="J11" s="56" t="s">
        <v>169</v>
      </c>
      <c r="K11" s="65"/>
      <c r="L11" s="65"/>
      <c r="M11" s="65"/>
      <c r="N11" s="65"/>
      <c r="O11" s="65"/>
      <c r="P11" s="65"/>
    </row>
    <row r="12" spans="1:16" s="45" customFormat="1" ht="57.75" customHeight="1" x14ac:dyDescent="0.25">
      <c r="B12" s="69">
        <v>4</v>
      </c>
      <c r="C12" s="56" t="s">
        <v>46</v>
      </c>
      <c r="D12" s="56" t="s">
        <v>14</v>
      </c>
      <c r="E12" s="56" t="s">
        <v>105</v>
      </c>
      <c r="F12" s="56" t="s">
        <v>50</v>
      </c>
      <c r="G12" s="56" t="s">
        <v>238</v>
      </c>
      <c r="H12" s="56" t="s">
        <v>298</v>
      </c>
      <c r="I12" s="56">
        <v>129.75</v>
      </c>
      <c r="J12" s="56" t="s">
        <v>170</v>
      </c>
      <c r="K12" s="65"/>
      <c r="L12" s="65"/>
      <c r="M12" s="65"/>
      <c r="N12" s="65"/>
      <c r="O12" s="65"/>
      <c r="P12" s="65"/>
    </row>
    <row r="13" spans="1:16" s="45" customFormat="1" ht="57.75" customHeight="1" x14ac:dyDescent="0.25">
      <c r="B13" s="69">
        <v>5</v>
      </c>
      <c r="C13" s="56" t="s">
        <v>46</v>
      </c>
      <c r="D13" s="56" t="s">
        <v>14</v>
      </c>
      <c r="E13" s="56" t="s">
        <v>105</v>
      </c>
      <c r="F13" s="56" t="s">
        <v>51</v>
      </c>
      <c r="G13" s="56" t="s">
        <v>239</v>
      </c>
      <c r="H13" s="56" t="s">
        <v>299</v>
      </c>
      <c r="I13" s="56">
        <v>129.75</v>
      </c>
      <c r="J13" s="56" t="s">
        <v>170</v>
      </c>
      <c r="K13" s="65"/>
      <c r="L13" s="65"/>
      <c r="M13" s="65"/>
      <c r="N13" s="65"/>
      <c r="O13" s="65"/>
      <c r="P13" s="65"/>
    </row>
    <row r="14" spans="1:16" s="45" customFormat="1" ht="57.75" customHeight="1" x14ac:dyDescent="0.25">
      <c r="B14" s="69">
        <v>6</v>
      </c>
      <c r="C14" s="56" t="s">
        <v>46</v>
      </c>
      <c r="D14" s="56" t="s">
        <v>14</v>
      </c>
      <c r="E14" s="56" t="s">
        <v>104</v>
      </c>
      <c r="F14" s="56" t="s">
        <v>52</v>
      </c>
      <c r="G14" s="56" t="s">
        <v>240</v>
      </c>
      <c r="H14" s="56" t="s">
        <v>300</v>
      </c>
      <c r="I14" s="56">
        <v>309.67</v>
      </c>
      <c r="J14" s="56" t="s">
        <v>169</v>
      </c>
      <c r="K14" s="65"/>
      <c r="L14" s="65"/>
      <c r="M14" s="65"/>
      <c r="N14" s="65"/>
      <c r="O14" s="65"/>
      <c r="P14" s="65"/>
    </row>
    <row r="15" spans="1:16" s="45" customFormat="1" ht="57.75" customHeight="1" x14ac:dyDescent="0.25">
      <c r="B15" s="69">
        <v>7</v>
      </c>
      <c r="C15" s="56" t="s">
        <v>46</v>
      </c>
      <c r="D15" s="56" t="s">
        <v>14</v>
      </c>
      <c r="E15" s="56" t="s">
        <v>107</v>
      </c>
      <c r="F15" s="56" t="s">
        <v>53</v>
      </c>
      <c r="G15" s="56" t="s">
        <v>241</v>
      </c>
      <c r="H15" s="56" t="s">
        <v>301</v>
      </c>
      <c r="I15" s="56">
        <v>1073.8975</v>
      </c>
      <c r="J15" s="56" t="s">
        <v>171</v>
      </c>
      <c r="K15" s="65"/>
      <c r="L15" s="65"/>
      <c r="M15" s="65"/>
      <c r="N15" s="65"/>
      <c r="O15" s="65"/>
      <c r="P15" s="65"/>
    </row>
    <row r="16" spans="1:16" s="45" customFormat="1" ht="57.75" customHeight="1" x14ac:dyDescent="0.25">
      <c r="B16" s="69">
        <v>8</v>
      </c>
      <c r="C16" s="56" t="s">
        <v>46</v>
      </c>
      <c r="D16" s="56" t="s">
        <v>14</v>
      </c>
      <c r="E16" s="56" t="s">
        <v>106</v>
      </c>
      <c r="F16" s="56" t="s">
        <v>54</v>
      </c>
      <c r="G16" s="56" t="s">
        <v>242</v>
      </c>
      <c r="H16" s="56" t="s">
        <v>302</v>
      </c>
      <c r="I16" s="56">
        <v>482.67</v>
      </c>
      <c r="J16" s="56" t="s">
        <v>173</v>
      </c>
      <c r="K16" s="65"/>
      <c r="L16" s="65"/>
      <c r="M16" s="65"/>
      <c r="N16" s="65"/>
      <c r="O16" s="65"/>
      <c r="P16" s="65"/>
    </row>
    <row r="17" spans="2:10" s="45" customFormat="1" ht="57.75" customHeight="1" x14ac:dyDescent="0.25">
      <c r="B17" s="69">
        <v>9</v>
      </c>
      <c r="C17" s="56" t="s">
        <v>46</v>
      </c>
      <c r="D17" s="56" t="s">
        <v>14</v>
      </c>
      <c r="E17" s="56" t="s">
        <v>106</v>
      </c>
      <c r="F17" s="56" t="s">
        <v>55</v>
      </c>
      <c r="G17" s="56" t="s">
        <v>243</v>
      </c>
      <c r="H17" s="56" t="s">
        <v>303</v>
      </c>
      <c r="I17" s="56">
        <f>250*1.73*4.116</f>
        <v>1780.1699999999998</v>
      </c>
      <c r="J17" s="56" t="s">
        <v>174</v>
      </c>
    </row>
    <row r="18" spans="2:10" s="45" customFormat="1" ht="57.75" customHeight="1" x14ac:dyDescent="0.25">
      <c r="B18" s="69">
        <v>10</v>
      </c>
      <c r="C18" s="56" t="s">
        <v>46</v>
      </c>
      <c r="D18" s="56" t="s">
        <v>14</v>
      </c>
      <c r="E18" s="56" t="s">
        <v>112</v>
      </c>
      <c r="F18" s="56" t="s">
        <v>56</v>
      </c>
      <c r="G18" s="56" t="s">
        <v>244</v>
      </c>
      <c r="H18" s="56" t="s">
        <v>304</v>
      </c>
      <c r="I18" s="56">
        <f>1000*1.73*0.716</f>
        <v>1238.6799999999998</v>
      </c>
      <c r="J18" s="56" t="s">
        <v>172</v>
      </c>
    </row>
    <row r="19" spans="2:10" s="45" customFormat="1" ht="57.75" customHeight="1" x14ac:dyDescent="0.25">
      <c r="B19" s="69">
        <v>11</v>
      </c>
      <c r="C19" s="56" t="s">
        <v>46</v>
      </c>
      <c r="D19" s="56" t="s">
        <v>14</v>
      </c>
      <c r="E19" s="56" t="s">
        <v>105</v>
      </c>
      <c r="F19" s="56" t="s">
        <v>57</v>
      </c>
      <c r="G19" s="56" t="s">
        <v>245</v>
      </c>
      <c r="H19" s="56" t="s">
        <v>305</v>
      </c>
      <c r="I19" s="56">
        <f>150*1.73*5.65</f>
        <v>1466.1750000000002</v>
      </c>
      <c r="J19" s="56" t="s">
        <v>175</v>
      </c>
    </row>
    <row r="20" spans="2:10" s="45" customFormat="1" ht="57.75" customHeight="1" x14ac:dyDescent="0.25">
      <c r="B20" s="69">
        <v>12</v>
      </c>
      <c r="C20" s="56" t="s">
        <v>46</v>
      </c>
      <c r="D20" s="56" t="s">
        <v>14</v>
      </c>
      <c r="E20" s="56" t="s">
        <v>108</v>
      </c>
      <c r="F20" s="56" t="s">
        <v>58</v>
      </c>
      <c r="G20" s="56" t="s">
        <v>246</v>
      </c>
      <c r="H20" s="56" t="s">
        <v>306</v>
      </c>
      <c r="I20" s="56">
        <f>25*1.73*2.866</f>
        <v>123.95450000000001</v>
      </c>
      <c r="J20" s="56" t="s">
        <v>176</v>
      </c>
    </row>
    <row r="21" spans="2:10" s="45" customFormat="1" ht="57.75" customHeight="1" x14ac:dyDescent="0.25">
      <c r="B21" s="69">
        <v>13</v>
      </c>
      <c r="C21" s="56" t="s">
        <v>46</v>
      </c>
      <c r="D21" s="56" t="s">
        <v>14</v>
      </c>
      <c r="E21" s="56" t="s">
        <v>111</v>
      </c>
      <c r="F21" s="56" t="s">
        <v>59</v>
      </c>
      <c r="G21" s="56" t="s">
        <v>246</v>
      </c>
      <c r="H21" s="56" t="s">
        <v>307</v>
      </c>
      <c r="I21" s="56">
        <f>6*1.73*0.133</f>
        <v>1.3805399999999999</v>
      </c>
      <c r="J21" s="56" t="s">
        <v>176</v>
      </c>
    </row>
    <row r="22" spans="2:10" s="45" customFormat="1" ht="57.75" customHeight="1" x14ac:dyDescent="0.25">
      <c r="B22" s="69">
        <v>14</v>
      </c>
      <c r="C22" s="56" t="s">
        <v>46</v>
      </c>
      <c r="D22" s="56" t="s">
        <v>14</v>
      </c>
      <c r="E22" s="56" t="s">
        <v>109</v>
      </c>
      <c r="F22" s="56" t="s">
        <v>60</v>
      </c>
      <c r="G22" s="56" t="s">
        <v>247</v>
      </c>
      <c r="H22" s="56" t="s">
        <v>247</v>
      </c>
      <c r="I22" s="56">
        <v>0</v>
      </c>
      <c r="J22" s="56" t="s">
        <v>176</v>
      </c>
    </row>
    <row r="23" spans="2:10" s="45" customFormat="1" ht="57.75" customHeight="1" x14ac:dyDescent="0.25">
      <c r="B23" s="69">
        <v>15</v>
      </c>
      <c r="C23" s="56" t="s">
        <v>46</v>
      </c>
      <c r="D23" s="56" t="s">
        <v>14</v>
      </c>
      <c r="E23" s="56" t="s">
        <v>106</v>
      </c>
      <c r="F23" s="56" t="s">
        <v>61</v>
      </c>
      <c r="G23" s="56" t="s">
        <v>248</v>
      </c>
      <c r="H23" s="56" t="s">
        <v>308</v>
      </c>
      <c r="I23" s="56">
        <f>250*1.73*2.216</f>
        <v>958.42000000000007</v>
      </c>
      <c r="J23" s="56" t="s">
        <v>177</v>
      </c>
    </row>
    <row r="24" spans="2:10" s="45" customFormat="1" ht="57.75" customHeight="1" x14ac:dyDescent="0.25">
      <c r="B24" s="69">
        <v>16</v>
      </c>
      <c r="C24" s="56" t="s">
        <v>46</v>
      </c>
      <c r="D24" s="56" t="s">
        <v>14</v>
      </c>
      <c r="E24" s="56" t="s">
        <v>110</v>
      </c>
      <c r="F24" s="56" t="s">
        <v>62</v>
      </c>
      <c r="G24" s="56" t="s">
        <v>249</v>
      </c>
      <c r="H24" s="56" t="s">
        <v>309</v>
      </c>
      <c r="I24" s="56">
        <f>100*1.73*1.816</f>
        <v>314.16800000000001</v>
      </c>
      <c r="J24" s="56" t="s">
        <v>176</v>
      </c>
    </row>
    <row r="25" spans="2:10" s="45" customFormat="1" ht="57.75" customHeight="1" x14ac:dyDescent="0.25">
      <c r="B25" s="69">
        <v>17</v>
      </c>
      <c r="C25" s="56" t="s">
        <v>46</v>
      </c>
      <c r="D25" s="56" t="s">
        <v>14</v>
      </c>
      <c r="E25" s="56" t="s">
        <v>103</v>
      </c>
      <c r="F25" s="56" t="s">
        <v>63</v>
      </c>
      <c r="G25" s="56" t="s">
        <v>250</v>
      </c>
      <c r="H25" s="56" t="s">
        <v>310</v>
      </c>
      <c r="I25" s="56">
        <f>6*1.73*4.383</f>
        <v>45.495539999999998</v>
      </c>
      <c r="J25" s="56" t="s">
        <v>176</v>
      </c>
    </row>
    <row r="26" spans="2:10" s="45" customFormat="1" ht="57.75" customHeight="1" x14ac:dyDescent="0.25">
      <c r="B26" s="69">
        <v>18</v>
      </c>
      <c r="C26" s="56" t="s">
        <v>46</v>
      </c>
      <c r="D26" s="56" t="s">
        <v>14</v>
      </c>
      <c r="E26" s="56" t="s">
        <v>112</v>
      </c>
      <c r="F26" s="56" t="s">
        <v>64</v>
      </c>
      <c r="G26" s="56" t="s">
        <v>251</v>
      </c>
      <c r="H26" s="56" t="s">
        <v>311</v>
      </c>
      <c r="I26" s="56">
        <f>1000*1.73*3.133</f>
        <v>5420.09</v>
      </c>
      <c r="J26" s="56" t="s">
        <v>178</v>
      </c>
    </row>
    <row r="27" spans="2:10" s="45" customFormat="1" ht="57.75" customHeight="1" x14ac:dyDescent="0.25">
      <c r="B27" s="69">
        <v>19</v>
      </c>
      <c r="C27" s="56" t="s">
        <v>46</v>
      </c>
      <c r="D27" s="56" t="s">
        <v>14</v>
      </c>
      <c r="E27" s="56" t="s">
        <v>105</v>
      </c>
      <c r="F27" s="56" t="s">
        <v>65</v>
      </c>
      <c r="G27" s="56" t="s">
        <v>252</v>
      </c>
      <c r="H27" s="56" t="s">
        <v>312</v>
      </c>
      <c r="I27" s="56">
        <f>200*1.73*2.65*10</f>
        <v>9169</v>
      </c>
      <c r="J27" s="56" t="s">
        <v>179</v>
      </c>
    </row>
    <row r="28" spans="2:10" s="45" customFormat="1" ht="57.75" customHeight="1" x14ac:dyDescent="0.25">
      <c r="B28" s="69">
        <v>20</v>
      </c>
      <c r="C28" s="56" t="s">
        <v>46</v>
      </c>
      <c r="D28" s="56" t="s">
        <v>14</v>
      </c>
      <c r="E28" s="56" t="s">
        <v>105</v>
      </c>
      <c r="F28" s="56" t="s">
        <v>66</v>
      </c>
      <c r="G28" s="56" t="s">
        <v>253</v>
      </c>
      <c r="H28" s="56" t="s">
        <v>313</v>
      </c>
      <c r="I28" s="56">
        <f>150*1.73*0.833*0.4</f>
        <v>86.465400000000002</v>
      </c>
      <c r="J28" s="56" t="s">
        <v>177</v>
      </c>
    </row>
    <row r="29" spans="2:10" s="45" customFormat="1" ht="57.75" customHeight="1" x14ac:dyDescent="0.25">
      <c r="B29" s="69">
        <v>21</v>
      </c>
      <c r="C29" s="56" t="s">
        <v>46</v>
      </c>
      <c r="D29" s="56" t="s">
        <v>14</v>
      </c>
      <c r="E29" s="56" t="s">
        <v>110</v>
      </c>
      <c r="F29" s="56" t="s">
        <v>62</v>
      </c>
      <c r="G29" s="56" t="s">
        <v>254</v>
      </c>
      <c r="H29" s="56" t="s">
        <v>314</v>
      </c>
      <c r="I29" s="56">
        <f>100*1.73*3*10</f>
        <v>5190</v>
      </c>
      <c r="J29" s="56" t="s">
        <v>176</v>
      </c>
    </row>
    <row r="30" spans="2:10" s="45" customFormat="1" ht="57.75" customHeight="1" x14ac:dyDescent="0.25">
      <c r="B30" s="69">
        <v>22</v>
      </c>
      <c r="C30" s="56" t="s">
        <v>46</v>
      </c>
      <c r="D30" s="56" t="s">
        <v>14</v>
      </c>
      <c r="E30" s="56" t="s">
        <v>110</v>
      </c>
      <c r="F30" s="56" t="s">
        <v>62</v>
      </c>
      <c r="G30" s="56" t="s">
        <v>255</v>
      </c>
      <c r="H30" s="56" t="s">
        <v>315</v>
      </c>
      <c r="I30" s="56">
        <f>100*1.73*4.55*10</f>
        <v>7871.5</v>
      </c>
      <c r="J30" s="56" t="s">
        <v>176</v>
      </c>
    </row>
    <row r="31" spans="2:10" s="45" customFormat="1" ht="57.75" customHeight="1" x14ac:dyDescent="0.25">
      <c r="B31" s="69">
        <v>23</v>
      </c>
      <c r="C31" s="56" t="s">
        <v>46</v>
      </c>
      <c r="D31" s="56" t="s">
        <v>14</v>
      </c>
      <c r="E31" s="56" t="s">
        <v>105</v>
      </c>
      <c r="F31" s="56" t="s">
        <v>67</v>
      </c>
      <c r="G31" s="56" t="s">
        <v>256</v>
      </c>
      <c r="H31" s="56" t="s">
        <v>316</v>
      </c>
      <c r="I31" s="56">
        <f>150*1.73*2.73*0.4</f>
        <v>283.37399999999997</v>
      </c>
      <c r="J31" s="56" t="s">
        <v>180</v>
      </c>
    </row>
    <row r="32" spans="2:10" s="45" customFormat="1" ht="57.75" customHeight="1" x14ac:dyDescent="0.25">
      <c r="B32" s="69">
        <v>24</v>
      </c>
      <c r="C32" s="56" t="s">
        <v>46</v>
      </c>
      <c r="D32" s="56" t="s">
        <v>14</v>
      </c>
      <c r="E32" s="56" t="s">
        <v>112</v>
      </c>
      <c r="F32" s="56" t="s">
        <v>56</v>
      </c>
      <c r="G32" s="56" t="s">
        <v>257</v>
      </c>
      <c r="H32" s="56" t="s">
        <v>317</v>
      </c>
      <c r="I32" s="56">
        <f>1000*1.73*1.03*0.4</f>
        <v>712.7600000000001</v>
      </c>
      <c r="J32" s="56" t="s">
        <v>180</v>
      </c>
    </row>
    <row r="33" spans="2:10" s="45" customFormat="1" ht="57.75" customHeight="1" x14ac:dyDescent="0.25">
      <c r="B33" s="69">
        <v>25</v>
      </c>
      <c r="C33" s="56" t="s">
        <v>46</v>
      </c>
      <c r="D33" s="56" t="s">
        <v>14</v>
      </c>
      <c r="E33" s="56" t="s">
        <v>103</v>
      </c>
      <c r="F33" s="56" t="s">
        <v>68</v>
      </c>
      <c r="G33" s="56" t="s">
        <v>258</v>
      </c>
      <c r="H33" s="56" t="s">
        <v>318</v>
      </c>
      <c r="I33" s="56">
        <f>6*1.73*4.75*10</f>
        <v>493.04999999999995</v>
      </c>
      <c r="J33" s="56" t="s">
        <v>181</v>
      </c>
    </row>
    <row r="34" spans="2:10" s="45" customFormat="1" ht="57.75" customHeight="1" x14ac:dyDescent="0.25">
      <c r="B34" s="69">
        <v>26</v>
      </c>
      <c r="C34" s="56" t="s">
        <v>46</v>
      </c>
      <c r="D34" s="56" t="s">
        <v>14</v>
      </c>
      <c r="E34" s="56" t="s">
        <v>105</v>
      </c>
      <c r="F34" s="56" t="s">
        <v>69</v>
      </c>
      <c r="G34" s="56" t="s">
        <v>259</v>
      </c>
      <c r="H34" s="56" t="s">
        <v>319</v>
      </c>
      <c r="I34" s="56">
        <f>150*0.173*1*0.4</f>
        <v>10.38</v>
      </c>
      <c r="J34" s="56" t="s">
        <v>177</v>
      </c>
    </row>
    <row r="35" spans="2:10" s="45" customFormat="1" ht="57.75" customHeight="1" x14ac:dyDescent="0.25">
      <c r="B35" s="69">
        <v>27</v>
      </c>
      <c r="C35" s="56" t="s">
        <v>46</v>
      </c>
      <c r="D35" s="56" t="s">
        <v>14</v>
      </c>
      <c r="E35" s="56" t="s">
        <v>105</v>
      </c>
      <c r="F35" s="56" t="s">
        <v>70</v>
      </c>
      <c r="G35" s="56" t="s">
        <v>260</v>
      </c>
      <c r="H35" s="56" t="s">
        <v>320</v>
      </c>
      <c r="I35" s="56">
        <f>150*1.73*1.766*0.4</f>
        <v>183.3108</v>
      </c>
      <c r="J35" s="56" t="s">
        <v>182</v>
      </c>
    </row>
    <row r="36" spans="2:10" s="45" customFormat="1" ht="57.75" customHeight="1" x14ac:dyDescent="0.25">
      <c r="B36" s="69">
        <v>28</v>
      </c>
      <c r="C36" s="56" t="s">
        <v>46</v>
      </c>
      <c r="D36" s="56" t="s">
        <v>14</v>
      </c>
      <c r="E36" s="56" t="s">
        <v>105</v>
      </c>
      <c r="F36" s="56" t="s">
        <v>71</v>
      </c>
      <c r="G36" s="56" t="s">
        <v>261</v>
      </c>
      <c r="H36" s="56" t="s">
        <v>321</v>
      </c>
      <c r="I36" s="56">
        <f>120*1.73*1.116*10</f>
        <v>2316.8159999999998</v>
      </c>
      <c r="J36" s="56" t="s">
        <v>180</v>
      </c>
    </row>
    <row r="37" spans="2:10" s="45" customFormat="1" ht="57.75" customHeight="1" x14ac:dyDescent="0.25">
      <c r="B37" s="69">
        <v>29</v>
      </c>
      <c r="C37" s="56" t="s">
        <v>46</v>
      </c>
      <c r="D37" s="56" t="s">
        <v>14</v>
      </c>
      <c r="E37" s="56" t="s">
        <v>105</v>
      </c>
      <c r="F37" s="56" t="s">
        <v>72</v>
      </c>
      <c r="G37" s="56" t="s">
        <v>262</v>
      </c>
      <c r="H37" s="56" t="s">
        <v>322</v>
      </c>
      <c r="I37" s="56">
        <f>150*1.73*1.116*0.4</f>
        <v>115.84080000000002</v>
      </c>
      <c r="J37" s="56" t="s">
        <v>183</v>
      </c>
    </row>
    <row r="38" spans="2:10" s="45" customFormat="1" ht="57.75" customHeight="1" x14ac:dyDescent="0.25">
      <c r="B38" s="69">
        <v>30</v>
      </c>
      <c r="C38" s="56" t="s">
        <v>46</v>
      </c>
      <c r="D38" s="56" t="s">
        <v>14</v>
      </c>
      <c r="E38" s="56" t="s">
        <v>105</v>
      </c>
      <c r="F38" s="56" t="s">
        <v>73</v>
      </c>
      <c r="G38" s="56" t="s">
        <v>263</v>
      </c>
      <c r="H38" s="56" t="s">
        <v>323</v>
      </c>
      <c r="I38" s="56">
        <f>150*1.73*1.23*0.4</f>
        <v>127.67400000000001</v>
      </c>
      <c r="J38" s="56" t="s">
        <v>234</v>
      </c>
    </row>
    <row r="39" spans="2:10" s="45" customFormat="1" ht="57.75" customHeight="1" x14ac:dyDescent="0.25">
      <c r="B39" s="69">
        <v>31</v>
      </c>
      <c r="C39" s="56" t="s">
        <v>46</v>
      </c>
      <c r="D39" s="56" t="s">
        <v>14</v>
      </c>
      <c r="E39" s="56" t="s">
        <v>105</v>
      </c>
      <c r="F39" s="56" t="s">
        <v>74</v>
      </c>
      <c r="G39" s="56" t="s">
        <v>264</v>
      </c>
      <c r="H39" s="56" t="s">
        <v>324</v>
      </c>
      <c r="I39" s="56">
        <f>200*1.73*0.08*0.4</f>
        <v>11.072000000000001</v>
      </c>
      <c r="J39" s="56" t="s">
        <v>181</v>
      </c>
    </row>
    <row r="40" spans="2:10" s="45" customFormat="1" ht="57.75" customHeight="1" x14ac:dyDescent="0.25">
      <c r="B40" s="69">
        <v>32</v>
      </c>
      <c r="C40" s="56" t="s">
        <v>46</v>
      </c>
      <c r="D40" s="56" t="s">
        <v>14</v>
      </c>
      <c r="E40" s="56" t="s">
        <v>112</v>
      </c>
      <c r="F40" s="56" t="s">
        <v>75</v>
      </c>
      <c r="G40" s="56" t="s">
        <v>265</v>
      </c>
      <c r="H40" s="56" t="s">
        <v>325</v>
      </c>
      <c r="I40" s="56">
        <f>250*1.73*2.333*0.4</f>
        <v>403.60900000000004</v>
      </c>
      <c r="J40" s="56" t="s">
        <v>180</v>
      </c>
    </row>
    <row r="41" spans="2:10" s="45" customFormat="1" ht="57.75" customHeight="1" x14ac:dyDescent="0.25">
      <c r="B41" s="69">
        <v>33</v>
      </c>
      <c r="C41" s="56" t="s">
        <v>46</v>
      </c>
      <c r="D41" s="56" t="s">
        <v>14</v>
      </c>
      <c r="E41" s="56" t="s">
        <v>114</v>
      </c>
      <c r="F41" s="56" t="s">
        <v>76</v>
      </c>
      <c r="G41" s="56" t="s">
        <v>266</v>
      </c>
      <c r="H41" s="56" t="s">
        <v>326</v>
      </c>
      <c r="I41" s="56">
        <f>100*1.73*1.45*10</f>
        <v>2508.5</v>
      </c>
      <c r="J41" s="56" t="s">
        <v>176</v>
      </c>
    </row>
    <row r="42" spans="2:10" s="45" customFormat="1" ht="57.75" customHeight="1" x14ac:dyDescent="0.25">
      <c r="B42" s="69">
        <v>34</v>
      </c>
      <c r="C42" s="56" t="s">
        <v>46</v>
      </c>
      <c r="D42" s="56" t="s">
        <v>14</v>
      </c>
      <c r="E42" s="56" t="s">
        <v>105</v>
      </c>
      <c r="F42" s="56" t="s">
        <v>77</v>
      </c>
      <c r="G42" s="56" t="s">
        <v>267</v>
      </c>
      <c r="H42" s="56" t="s">
        <v>327</v>
      </c>
      <c r="I42" s="56">
        <f>100*1.73*1.416*10</f>
        <v>2449.6799999999998</v>
      </c>
      <c r="J42" s="56" t="s">
        <v>176</v>
      </c>
    </row>
    <row r="43" spans="2:10" s="45" customFormat="1" ht="57.75" customHeight="1" x14ac:dyDescent="0.25">
      <c r="B43" s="69">
        <v>35</v>
      </c>
      <c r="C43" s="56" t="s">
        <v>46</v>
      </c>
      <c r="D43" s="56" t="s">
        <v>14</v>
      </c>
      <c r="E43" s="56" t="s">
        <v>105</v>
      </c>
      <c r="F43" s="56" t="s">
        <v>78</v>
      </c>
      <c r="G43" s="56" t="s">
        <v>268</v>
      </c>
      <c r="H43" s="56" t="s">
        <v>328</v>
      </c>
      <c r="I43" s="56">
        <f>150*1.73*4.57*0.4</f>
        <v>474.36599999999999</v>
      </c>
      <c r="J43" s="56"/>
    </row>
    <row r="44" spans="2:10" s="45" customFormat="1" ht="57.75" customHeight="1" x14ac:dyDescent="0.25">
      <c r="B44" s="69">
        <v>36</v>
      </c>
      <c r="C44" s="56" t="s">
        <v>46</v>
      </c>
      <c r="D44" s="56" t="s">
        <v>14</v>
      </c>
      <c r="E44" s="56" t="s">
        <v>115</v>
      </c>
      <c r="F44" s="56" t="s">
        <v>79</v>
      </c>
      <c r="G44" s="56" t="s">
        <v>269</v>
      </c>
      <c r="H44" s="56" t="s">
        <v>329</v>
      </c>
      <c r="I44" s="56">
        <f>100*1.73*1.05*10</f>
        <v>1816.5</v>
      </c>
      <c r="J44" s="56" t="s">
        <v>176</v>
      </c>
    </row>
    <row r="45" spans="2:10" s="45" customFormat="1" ht="57.75" customHeight="1" x14ac:dyDescent="0.25">
      <c r="B45" s="69">
        <v>37</v>
      </c>
      <c r="C45" s="56" t="s">
        <v>46</v>
      </c>
      <c r="D45" s="56" t="s">
        <v>14</v>
      </c>
      <c r="E45" s="56" t="s">
        <v>105</v>
      </c>
      <c r="F45" s="56" t="s">
        <v>80</v>
      </c>
      <c r="G45" s="56" t="s">
        <v>270</v>
      </c>
      <c r="H45" s="56" t="s">
        <v>328</v>
      </c>
      <c r="I45" s="56">
        <f>150*1.73*3.033*0.4</f>
        <v>314.8254</v>
      </c>
      <c r="J45" s="56" t="s">
        <v>177</v>
      </c>
    </row>
    <row r="46" spans="2:10" s="45" customFormat="1" ht="57.75" customHeight="1" x14ac:dyDescent="0.25">
      <c r="B46" s="69">
        <v>38</v>
      </c>
      <c r="C46" s="56" t="s">
        <v>46</v>
      </c>
      <c r="D46" s="56" t="s">
        <v>14</v>
      </c>
      <c r="E46" s="56" t="s">
        <v>105</v>
      </c>
      <c r="F46" s="56" t="s">
        <v>81</v>
      </c>
      <c r="G46" s="56" t="s">
        <v>271</v>
      </c>
      <c r="H46" s="56" t="s">
        <v>330</v>
      </c>
      <c r="I46" s="56">
        <f>100*1.73*2.016*10</f>
        <v>3487.6800000000003</v>
      </c>
      <c r="J46" s="56" t="s">
        <v>176</v>
      </c>
    </row>
    <row r="47" spans="2:10" s="45" customFormat="1" ht="57.75" customHeight="1" x14ac:dyDescent="0.25">
      <c r="B47" s="69">
        <v>39</v>
      </c>
      <c r="C47" s="56" t="s">
        <v>46</v>
      </c>
      <c r="D47" s="56" t="s">
        <v>14</v>
      </c>
      <c r="E47" s="56" t="s">
        <v>105</v>
      </c>
      <c r="F47" s="56" t="s">
        <v>82</v>
      </c>
      <c r="G47" s="56" t="s">
        <v>272</v>
      </c>
      <c r="H47" s="56" t="s">
        <v>331</v>
      </c>
      <c r="I47" s="56">
        <f>150*1.73*0.5*0.4</f>
        <v>51.900000000000006</v>
      </c>
      <c r="J47" s="56" t="s">
        <v>177</v>
      </c>
    </row>
    <row r="48" spans="2:10" s="45" customFormat="1" ht="57.75" customHeight="1" x14ac:dyDescent="0.25">
      <c r="B48" s="69">
        <v>40</v>
      </c>
      <c r="C48" s="56" t="s">
        <v>46</v>
      </c>
      <c r="D48" s="56" t="s">
        <v>14</v>
      </c>
      <c r="E48" s="56" t="s">
        <v>105</v>
      </c>
      <c r="F48" s="56" t="s">
        <v>83</v>
      </c>
      <c r="G48" s="56" t="s">
        <v>273</v>
      </c>
      <c r="H48" s="56" t="s">
        <v>332</v>
      </c>
      <c r="I48" s="56">
        <f>150*1.73*2.6*0.4</f>
        <v>269.88000000000005</v>
      </c>
      <c r="J48" s="56" t="s">
        <v>177</v>
      </c>
    </row>
    <row r="49" spans="2:10" s="45" customFormat="1" ht="57.75" customHeight="1" x14ac:dyDescent="0.25">
      <c r="B49" s="69">
        <v>41</v>
      </c>
      <c r="C49" s="56" t="s">
        <v>46</v>
      </c>
      <c r="D49" s="56" t="s">
        <v>14</v>
      </c>
      <c r="E49" s="56" t="s">
        <v>107</v>
      </c>
      <c r="F49" s="56" t="s">
        <v>84</v>
      </c>
      <c r="G49" s="56" t="s">
        <v>274</v>
      </c>
      <c r="H49" s="56" t="s">
        <v>333</v>
      </c>
      <c r="I49" s="56">
        <f>250*1.73*2.92*0.4</f>
        <v>505.15999999999997</v>
      </c>
      <c r="J49" s="56" t="s">
        <v>184</v>
      </c>
    </row>
    <row r="50" spans="2:10" s="45" customFormat="1" ht="57.75" customHeight="1" x14ac:dyDescent="0.25">
      <c r="B50" s="69">
        <v>42</v>
      </c>
      <c r="C50" s="56" t="s">
        <v>46</v>
      </c>
      <c r="D50" s="56" t="s">
        <v>14</v>
      </c>
      <c r="E50" s="56" t="s">
        <v>112</v>
      </c>
      <c r="F50" s="56" t="s">
        <v>85</v>
      </c>
      <c r="G50" s="56" t="s">
        <v>275</v>
      </c>
      <c r="H50" s="56" t="s">
        <v>334</v>
      </c>
      <c r="I50" s="56">
        <f>1000*1.73*6.78*0.4</f>
        <v>4691.76</v>
      </c>
      <c r="J50" s="56" t="s">
        <v>185</v>
      </c>
    </row>
    <row r="51" spans="2:10" s="45" customFormat="1" ht="57.75" customHeight="1" x14ac:dyDescent="0.25">
      <c r="B51" s="69">
        <v>43</v>
      </c>
      <c r="C51" s="56" t="s">
        <v>46</v>
      </c>
      <c r="D51" s="56" t="s">
        <v>14</v>
      </c>
      <c r="E51" s="56" t="s">
        <v>104</v>
      </c>
      <c r="F51" s="56" t="s">
        <v>86</v>
      </c>
      <c r="G51" s="56" t="s">
        <v>276</v>
      </c>
      <c r="H51" s="56" t="s">
        <v>335</v>
      </c>
      <c r="I51" s="56">
        <f>250*1.73*3.5*0.4</f>
        <v>605.5</v>
      </c>
      <c r="J51" s="56" t="s">
        <v>186</v>
      </c>
    </row>
    <row r="52" spans="2:10" s="45" customFormat="1" ht="57.75" customHeight="1" x14ac:dyDescent="0.25">
      <c r="B52" s="69">
        <v>44</v>
      </c>
      <c r="C52" s="56" t="s">
        <v>46</v>
      </c>
      <c r="D52" s="56" t="s">
        <v>14</v>
      </c>
      <c r="E52" s="56" t="s">
        <v>116</v>
      </c>
      <c r="F52" s="56" t="s">
        <v>87</v>
      </c>
      <c r="G52" s="56" t="s">
        <v>277</v>
      </c>
      <c r="H52" s="56" t="s">
        <v>336</v>
      </c>
      <c r="I52" s="56">
        <f>250*1.73*0.03*10</f>
        <v>129.75</v>
      </c>
      <c r="J52" s="56" t="s">
        <v>229</v>
      </c>
    </row>
    <row r="53" spans="2:10" s="45" customFormat="1" ht="57.75" customHeight="1" x14ac:dyDescent="0.25">
      <c r="B53" s="69">
        <v>45</v>
      </c>
      <c r="C53" s="56" t="s">
        <v>46</v>
      </c>
      <c r="D53" s="56" t="s">
        <v>14</v>
      </c>
      <c r="E53" s="56" t="s">
        <v>116</v>
      </c>
      <c r="F53" s="56" t="s">
        <v>64</v>
      </c>
      <c r="G53" s="56" t="s">
        <v>278</v>
      </c>
      <c r="H53" s="56" t="s">
        <v>337</v>
      </c>
      <c r="I53" s="56">
        <f>850*1.73*8.5*0.4</f>
        <v>4999.7000000000007</v>
      </c>
      <c r="J53" s="56" t="s">
        <v>187</v>
      </c>
    </row>
    <row r="54" spans="2:10" s="45" customFormat="1" ht="57.75" customHeight="1" x14ac:dyDescent="0.25">
      <c r="B54" s="69">
        <v>46</v>
      </c>
      <c r="C54" s="56" t="s">
        <v>46</v>
      </c>
      <c r="D54" s="56" t="s">
        <v>14</v>
      </c>
      <c r="E54" s="56" t="s">
        <v>103</v>
      </c>
      <c r="F54" s="56" t="s">
        <v>88</v>
      </c>
      <c r="G54" s="56" t="s">
        <v>279</v>
      </c>
      <c r="H54" s="56" t="s">
        <v>338</v>
      </c>
      <c r="I54" s="56">
        <f>6*1.73*4.5*10</f>
        <v>467.09999999999991</v>
      </c>
      <c r="J54" s="56" t="s">
        <v>188</v>
      </c>
    </row>
    <row r="55" spans="2:10" s="45" customFormat="1" ht="57.75" customHeight="1" x14ac:dyDescent="0.25">
      <c r="B55" s="69">
        <v>47</v>
      </c>
      <c r="C55" s="56" t="s">
        <v>46</v>
      </c>
      <c r="D55" s="56" t="s">
        <v>14</v>
      </c>
      <c r="E55" s="56" t="s">
        <v>105</v>
      </c>
      <c r="F55" s="56" t="s">
        <v>89</v>
      </c>
      <c r="G55" s="56" t="s">
        <v>280</v>
      </c>
      <c r="H55" s="56" t="s">
        <v>339</v>
      </c>
      <c r="I55" s="56">
        <f>100*1.73*3.83*10</f>
        <v>6625.9000000000005</v>
      </c>
      <c r="J55" s="56" t="s">
        <v>189</v>
      </c>
    </row>
    <row r="56" spans="2:10" s="45" customFormat="1" ht="57.75" customHeight="1" x14ac:dyDescent="0.25">
      <c r="B56" s="69">
        <v>48</v>
      </c>
      <c r="C56" s="56" t="s">
        <v>46</v>
      </c>
      <c r="D56" s="56" t="s">
        <v>14</v>
      </c>
      <c r="E56" s="56" t="s">
        <v>117</v>
      </c>
      <c r="F56" s="56" t="s">
        <v>90</v>
      </c>
      <c r="G56" s="56" t="s">
        <v>281</v>
      </c>
      <c r="H56" s="56" t="s">
        <v>340</v>
      </c>
      <c r="I56" s="56">
        <f>5*1.73*3.516*10</f>
        <v>304.13400000000001</v>
      </c>
      <c r="J56" s="56" t="s">
        <v>190</v>
      </c>
    </row>
    <row r="57" spans="2:10" s="45" customFormat="1" ht="57.75" customHeight="1" x14ac:dyDescent="0.25">
      <c r="B57" s="69">
        <v>49</v>
      </c>
      <c r="C57" s="56" t="s">
        <v>46</v>
      </c>
      <c r="D57" s="56" t="s">
        <v>14</v>
      </c>
      <c r="E57" s="56" t="s">
        <v>104</v>
      </c>
      <c r="F57" s="56" t="s">
        <v>91</v>
      </c>
      <c r="G57" s="56" t="s">
        <v>282</v>
      </c>
      <c r="H57" s="56" t="s">
        <v>341</v>
      </c>
      <c r="I57" s="56">
        <f>600*1.73*1.633*6</f>
        <v>10170.324000000001</v>
      </c>
      <c r="J57" s="56" t="s">
        <v>191</v>
      </c>
    </row>
    <row r="58" spans="2:10" s="45" customFormat="1" ht="57.75" customHeight="1" x14ac:dyDescent="0.25">
      <c r="B58" s="69">
        <v>50</v>
      </c>
      <c r="C58" s="56" t="s">
        <v>46</v>
      </c>
      <c r="D58" s="56" t="s">
        <v>14</v>
      </c>
      <c r="E58" s="56" t="s">
        <v>104</v>
      </c>
      <c r="F58" s="56" t="s">
        <v>92</v>
      </c>
      <c r="G58" s="56" t="s">
        <v>283</v>
      </c>
      <c r="H58" s="56" t="s">
        <v>342</v>
      </c>
      <c r="I58" s="56">
        <f>500*1.73*3.4*0.4</f>
        <v>1176.4000000000001</v>
      </c>
      <c r="J58" s="56" t="s">
        <v>180</v>
      </c>
    </row>
    <row r="59" spans="2:10" s="45" customFormat="1" ht="57.75" customHeight="1" x14ac:dyDescent="0.25">
      <c r="B59" s="69">
        <v>51</v>
      </c>
      <c r="C59" s="56" t="s">
        <v>46</v>
      </c>
      <c r="D59" s="56" t="s">
        <v>14</v>
      </c>
      <c r="E59" s="56" t="s">
        <v>118</v>
      </c>
      <c r="F59" s="56" t="s">
        <v>93</v>
      </c>
      <c r="G59" s="56" t="s">
        <v>284</v>
      </c>
      <c r="H59" s="56" t="s">
        <v>343</v>
      </c>
      <c r="I59" s="56">
        <f>30*1.73*0.033*10</f>
        <v>17.127000000000002</v>
      </c>
      <c r="J59" s="56" t="s">
        <v>176</v>
      </c>
    </row>
    <row r="60" spans="2:10" s="45" customFormat="1" ht="57.75" customHeight="1" x14ac:dyDescent="0.25">
      <c r="B60" s="69">
        <v>52</v>
      </c>
      <c r="C60" s="56" t="s">
        <v>46</v>
      </c>
      <c r="D60" s="56" t="s">
        <v>14</v>
      </c>
      <c r="E60" s="56" t="s">
        <v>105</v>
      </c>
      <c r="F60" s="56" t="s">
        <v>94</v>
      </c>
      <c r="G60" s="56" t="s">
        <v>285</v>
      </c>
      <c r="H60" s="56" t="s">
        <v>344</v>
      </c>
      <c r="I60" s="56">
        <f>150*1.73*1.383*0.4</f>
        <v>143.55540000000002</v>
      </c>
      <c r="J60" s="56" t="s">
        <v>182</v>
      </c>
    </row>
    <row r="61" spans="2:10" s="45" customFormat="1" ht="57.75" customHeight="1" x14ac:dyDescent="0.25">
      <c r="B61" s="69">
        <v>53</v>
      </c>
      <c r="C61" s="56" t="s">
        <v>46</v>
      </c>
      <c r="D61" s="56" t="s">
        <v>14</v>
      </c>
      <c r="E61" s="56" t="s">
        <v>105</v>
      </c>
      <c r="F61" s="56" t="s">
        <v>95</v>
      </c>
      <c r="G61" s="56" t="s">
        <v>286</v>
      </c>
      <c r="H61" s="56" t="s">
        <v>345</v>
      </c>
      <c r="I61" s="56">
        <f>150*1.73*0.95*0.4</f>
        <v>98.61</v>
      </c>
      <c r="J61" s="56" t="s">
        <v>182</v>
      </c>
    </row>
    <row r="62" spans="2:10" s="45" customFormat="1" ht="57.75" customHeight="1" x14ac:dyDescent="0.25">
      <c r="B62" s="69">
        <v>54</v>
      </c>
      <c r="C62" s="56" t="s">
        <v>46</v>
      </c>
      <c r="D62" s="56" t="s">
        <v>14</v>
      </c>
      <c r="E62" s="56" t="s">
        <v>119</v>
      </c>
      <c r="F62" s="56" t="s">
        <v>96</v>
      </c>
      <c r="G62" s="56" t="s">
        <v>287</v>
      </c>
      <c r="H62" s="56" t="s">
        <v>346</v>
      </c>
      <c r="I62" s="56">
        <f>250*1.73*3.05*0.4</f>
        <v>527.65</v>
      </c>
      <c r="J62" s="56" t="s">
        <v>182</v>
      </c>
    </row>
    <row r="63" spans="2:10" s="45" customFormat="1" ht="57.75" customHeight="1" x14ac:dyDescent="0.25">
      <c r="B63" s="69">
        <v>55</v>
      </c>
      <c r="C63" s="56" t="s">
        <v>46</v>
      </c>
      <c r="D63" s="56" t="s">
        <v>14</v>
      </c>
      <c r="E63" s="56" t="s">
        <v>105</v>
      </c>
      <c r="F63" s="56" t="s">
        <v>97</v>
      </c>
      <c r="G63" s="56" t="s">
        <v>288</v>
      </c>
      <c r="H63" s="56" t="s">
        <v>347</v>
      </c>
      <c r="I63" s="56">
        <f>150*1.73*1.366*0.4</f>
        <v>141.79080000000002</v>
      </c>
      <c r="J63" s="56" t="s">
        <v>180</v>
      </c>
    </row>
    <row r="64" spans="2:10" s="45" customFormat="1" ht="57.75" customHeight="1" x14ac:dyDescent="0.25">
      <c r="B64" s="69">
        <v>56</v>
      </c>
      <c r="C64" s="56" t="s">
        <v>46</v>
      </c>
      <c r="D64" s="56" t="s">
        <v>14</v>
      </c>
      <c r="E64" s="56" t="s">
        <v>105</v>
      </c>
      <c r="F64" s="56" t="s">
        <v>98</v>
      </c>
      <c r="G64" s="56" t="s">
        <v>289</v>
      </c>
      <c r="H64" s="56" t="s">
        <v>348</v>
      </c>
      <c r="I64" s="56">
        <f>150*1.73*1.666*0.4</f>
        <v>172.9308</v>
      </c>
      <c r="J64" s="56" t="s">
        <v>177</v>
      </c>
    </row>
    <row r="65" spans="2:14" s="45" customFormat="1" ht="57.75" customHeight="1" x14ac:dyDescent="0.25">
      <c r="B65" s="69">
        <v>57</v>
      </c>
      <c r="C65" s="56" t="s">
        <v>46</v>
      </c>
      <c r="D65" s="56" t="s">
        <v>14</v>
      </c>
      <c r="E65" s="56" t="s">
        <v>105</v>
      </c>
      <c r="F65" s="56" t="s">
        <v>41</v>
      </c>
      <c r="G65" s="56" t="s">
        <v>290</v>
      </c>
      <c r="H65" s="56" t="s">
        <v>349</v>
      </c>
      <c r="I65" s="56">
        <f>150*1.73*2.216*0.4</f>
        <v>230.02080000000001</v>
      </c>
      <c r="J65" s="56" t="s">
        <v>177</v>
      </c>
    </row>
    <row r="66" spans="2:14" s="45" customFormat="1" ht="57.75" customHeight="1" x14ac:dyDescent="0.25">
      <c r="B66" s="69">
        <v>58</v>
      </c>
      <c r="C66" s="56" t="s">
        <v>46</v>
      </c>
      <c r="D66" s="56" t="s">
        <v>14</v>
      </c>
      <c r="E66" s="56" t="s">
        <v>112</v>
      </c>
      <c r="F66" s="56" t="s">
        <v>99</v>
      </c>
      <c r="G66" s="56" t="s">
        <v>291</v>
      </c>
      <c r="H66" s="56" t="s">
        <v>350</v>
      </c>
      <c r="I66" s="56">
        <f>250*1.73*1.02*0.4</f>
        <v>176.46000000000004</v>
      </c>
      <c r="J66" s="56" t="s">
        <v>180</v>
      </c>
    </row>
    <row r="67" spans="2:14" s="45" customFormat="1" ht="57.75" customHeight="1" x14ac:dyDescent="0.25">
      <c r="B67" s="69">
        <v>59</v>
      </c>
      <c r="C67" s="56" t="s">
        <v>46</v>
      </c>
      <c r="D67" s="56" t="s">
        <v>14</v>
      </c>
      <c r="E67" s="56" t="s">
        <v>105</v>
      </c>
      <c r="F67" s="56" t="s">
        <v>100</v>
      </c>
      <c r="G67" s="56" t="s">
        <v>292</v>
      </c>
      <c r="H67" s="56" t="s">
        <v>351</v>
      </c>
      <c r="I67" s="56">
        <f>380*1.73*1.78*0.4</f>
        <v>468.06880000000001</v>
      </c>
      <c r="J67" s="56" t="s">
        <v>230</v>
      </c>
    </row>
    <row r="68" spans="2:14" s="45" customFormat="1" ht="57.75" customHeight="1" x14ac:dyDescent="0.25">
      <c r="B68" s="69">
        <v>60</v>
      </c>
      <c r="C68" s="56" t="s">
        <v>46</v>
      </c>
      <c r="D68" s="56" t="s">
        <v>14</v>
      </c>
      <c r="E68" s="56" t="s">
        <v>105</v>
      </c>
      <c r="F68" s="56" t="s">
        <v>101</v>
      </c>
      <c r="G68" s="56" t="s">
        <v>293</v>
      </c>
      <c r="H68" s="56" t="s">
        <v>352</v>
      </c>
      <c r="I68" s="56">
        <f>150*1.73*2.016*0.4</f>
        <v>209.26080000000002</v>
      </c>
      <c r="J68" s="56" t="s">
        <v>180</v>
      </c>
    </row>
    <row r="69" spans="2:14" s="45" customFormat="1" ht="57.75" customHeight="1" x14ac:dyDescent="0.25">
      <c r="B69" s="69">
        <v>61</v>
      </c>
      <c r="C69" s="56" t="s">
        <v>46</v>
      </c>
      <c r="D69" s="56" t="s">
        <v>14</v>
      </c>
      <c r="E69" s="56" t="s">
        <v>105</v>
      </c>
      <c r="F69" s="56" t="s">
        <v>98</v>
      </c>
      <c r="G69" s="56" t="s">
        <v>294</v>
      </c>
      <c r="H69" s="56" t="s">
        <v>353</v>
      </c>
      <c r="I69" s="56">
        <f>150*1.73*2.85</f>
        <v>739.57500000000005</v>
      </c>
      <c r="J69" s="56" t="s">
        <v>180</v>
      </c>
    </row>
    <row r="70" spans="2:14" s="45" customFormat="1" ht="57" customHeight="1" x14ac:dyDescent="0.25">
      <c r="B70" s="69">
        <v>62</v>
      </c>
      <c r="C70" s="56" t="s">
        <v>46</v>
      </c>
      <c r="D70" s="56" t="s">
        <v>14</v>
      </c>
      <c r="E70" s="56" t="s">
        <v>113</v>
      </c>
      <c r="F70" s="56" t="s">
        <v>45</v>
      </c>
      <c r="G70" s="56" t="s">
        <v>354</v>
      </c>
      <c r="H70" s="56" t="s">
        <v>386</v>
      </c>
      <c r="I70" s="56">
        <f>500*1.73*10.05*10</f>
        <v>86932.5</v>
      </c>
      <c r="J70" s="56" t="s">
        <v>193</v>
      </c>
    </row>
    <row r="71" spans="2:14" s="45" customFormat="1" ht="45" x14ac:dyDescent="0.25">
      <c r="B71" s="69">
        <v>63</v>
      </c>
      <c r="C71" s="56" t="s">
        <v>46</v>
      </c>
      <c r="D71" s="56" t="s">
        <v>14</v>
      </c>
      <c r="E71" s="56" t="s">
        <v>113</v>
      </c>
      <c r="F71" s="56" t="s">
        <v>44</v>
      </c>
      <c r="G71" s="56" t="s">
        <v>355</v>
      </c>
      <c r="H71" s="56" t="s">
        <v>386</v>
      </c>
      <c r="I71" s="56">
        <f>100*1.73*1.83*10</f>
        <v>3165.9000000000005</v>
      </c>
      <c r="J71" s="56" t="s">
        <v>194</v>
      </c>
    </row>
    <row r="72" spans="2:14" s="45" customFormat="1" ht="30" x14ac:dyDescent="0.25">
      <c r="B72" s="69">
        <v>64</v>
      </c>
      <c r="C72" s="56" t="s">
        <v>46</v>
      </c>
      <c r="D72" s="56" t="s">
        <v>14</v>
      </c>
      <c r="E72" s="56" t="s">
        <v>113</v>
      </c>
      <c r="F72" s="56" t="s">
        <v>42</v>
      </c>
      <c r="G72" s="56" t="s">
        <v>356</v>
      </c>
      <c r="H72" s="56" t="s">
        <v>387</v>
      </c>
      <c r="I72" s="56">
        <f>150*1.73*0.63*0.4</f>
        <v>65.394000000000005</v>
      </c>
      <c r="J72" s="56" t="s">
        <v>233</v>
      </c>
    </row>
    <row r="73" spans="2:14" s="45" customFormat="1" ht="30" x14ac:dyDescent="0.25">
      <c r="B73" s="69">
        <v>65</v>
      </c>
      <c r="C73" s="56" t="s">
        <v>46</v>
      </c>
      <c r="D73" s="56" t="s">
        <v>14</v>
      </c>
      <c r="E73" s="56" t="s">
        <v>102</v>
      </c>
      <c r="F73" s="56" t="s">
        <v>43</v>
      </c>
      <c r="G73" s="56" t="s">
        <v>357</v>
      </c>
      <c r="H73" s="56" t="s">
        <v>388</v>
      </c>
      <c r="I73" s="56">
        <f>1000*1.73*3.05*0.4</f>
        <v>2110.6</v>
      </c>
      <c r="J73" s="56" t="s">
        <v>192</v>
      </c>
    </row>
    <row r="74" spans="2:14" s="45" customFormat="1" ht="30" x14ac:dyDescent="0.25">
      <c r="B74" s="69">
        <v>66</v>
      </c>
      <c r="C74" s="56" t="s">
        <v>46</v>
      </c>
      <c r="D74" s="56" t="s">
        <v>14</v>
      </c>
      <c r="E74" s="56" t="s">
        <v>105</v>
      </c>
      <c r="F74" s="56" t="s">
        <v>16</v>
      </c>
      <c r="G74" s="56" t="s">
        <v>358</v>
      </c>
      <c r="H74" s="56" t="s">
        <v>389</v>
      </c>
      <c r="I74" s="56">
        <f>150*1.73*1.883*0.4</f>
        <v>195.45540000000003</v>
      </c>
      <c r="J74" s="56" t="s">
        <v>231</v>
      </c>
    </row>
    <row r="75" spans="2:14" s="45" customFormat="1" ht="30" x14ac:dyDescent="0.25">
      <c r="B75" s="69">
        <v>67</v>
      </c>
      <c r="C75" s="56" t="s">
        <v>46</v>
      </c>
      <c r="D75" s="56" t="s">
        <v>14</v>
      </c>
      <c r="E75" s="56" t="s">
        <v>105</v>
      </c>
      <c r="F75" s="56" t="s">
        <v>38</v>
      </c>
      <c r="G75" s="56" t="s">
        <v>359</v>
      </c>
      <c r="H75" s="56" t="s">
        <v>390</v>
      </c>
      <c r="I75" s="56">
        <f>150*1.73*4.53*0.4</f>
        <v>470.21400000000006</v>
      </c>
      <c r="J75" s="56" t="s">
        <v>195</v>
      </c>
    </row>
    <row r="76" spans="2:14" s="45" customFormat="1" ht="30" x14ac:dyDescent="0.25">
      <c r="B76" s="69">
        <v>68</v>
      </c>
      <c r="C76" s="56" t="s">
        <v>46</v>
      </c>
      <c r="D76" s="56" t="s">
        <v>14</v>
      </c>
      <c r="E76" s="56" t="s">
        <v>105</v>
      </c>
      <c r="F76" s="56" t="s">
        <v>39</v>
      </c>
      <c r="G76" s="56" t="s">
        <v>360</v>
      </c>
      <c r="H76" s="56" t="s">
        <v>391</v>
      </c>
      <c r="I76" s="56">
        <f>150*1.73*2.4*0.4</f>
        <v>249.12</v>
      </c>
      <c r="J76" s="56" t="s">
        <v>177</v>
      </c>
    </row>
    <row r="77" spans="2:14" ht="30" x14ac:dyDescent="0.25">
      <c r="B77" s="69">
        <v>69</v>
      </c>
      <c r="C77" s="56" t="s">
        <v>46</v>
      </c>
      <c r="D77" s="56" t="s">
        <v>14</v>
      </c>
      <c r="E77" s="56" t="s">
        <v>105</v>
      </c>
      <c r="F77" s="56" t="s">
        <v>41</v>
      </c>
      <c r="G77" s="56" t="s">
        <v>361</v>
      </c>
      <c r="H77" s="56" t="s">
        <v>392</v>
      </c>
      <c r="I77" s="56">
        <f>150*1.73*3.8*0.4</f>
        <v>394.44</v>
      </c>
      <c r="J77" s="56" t="s">
        <v>177</v>
      </c>
    </row>
    <row r="78" spans="2:14" ht="40.5" customHeight="1" x14ac:dyDescent="0.25">
      <c r="B78" s="69">
        <v>70</v>
      </c>
      <c r="C78" s="56" t="s">
        <v>46</v>
      </c>
      <c r="D78" s="56" t="s">
        <v>14</v>
      </c>
      <c r="E78" s="56" t="s">
        <v>105</v>
      </c>
      <c r="F78" s="56" t="s">
        <v>40</v>
      </c>
      <c r="G78" s="56" t="s">
        <v>362</v>
      </c>
      <c r="H78" s="56" t="s">
        <v>393</v>
      </c>
      <c r="I78" s="56">
        <f>150*1.73*1.38*0.4</f>
        <v>143.244</v>
      </c>
      <c r="J78" s="56" t="s">
        <v>196</v>
      </c>
      <c r="K78" s="46"/>
      <c r="L78" s="46"/>
      <c r="M78" s="46"/>
      <c r="N78" s="46"/>
    </row>
    <row r="79" spans="2:14" ht="30" x14ac:dyDescent="0.25">
      <c r="B79" s="69">
        <v>71</v>
      </c>
      <c r="C79" s="56" t="s">
        <v>46</v>
      </c>
      <c r="D79" s="56" t="s">
        <v>14</v>
      </c>
      <c r="E79" s="56" t="s">
        <v>121</v>
      </c>
      <c r="F79" s="56" t="s">
        <v>37</v>
      </c>
      <c r="G79" s="56" t="s">
        <v>363</v>
      </c>
      <c r="H79" s="56" t="s">
        <v>394</v>
      </c>
      <c r="I79" s="56">
        <f>120*1.73*1.266*10</f>
        <v>2628.2159999999999</v>
      </c>
      <c r="J79" s="56" t="s">
        <v>176</v>
      </c>
    </row>
    <row r="80" spans="2:14" ht="30" x14ac:dyDescent="0.25">
      <c r="B80" s="69">
        <v>72</v>
      </c>
      <c r="C80" s="56" t="s">
        <v>46</v>
      </c>
      <c r="D80" s="56" t="s">
        <v>14</v>
      </c>
      <c r="E80" s="56" t="s">
        <v>105</v>
      </c>
      <c r="F80" s="56" t="s">
        <v>36</v>
      </c>
      <c r="G80" s="56" t="s">
        <v>364</v>
      </c>
      <c r="H80" s="56" t="s">
        <v>395</v>
      </c>
      <c r="I80" s="56">
        <f>150*1.73*0.483*0.4</f>
        <v>50.135400000000004</v>
      </c>
      <c r="J80" s="56" t="s">
        <v>197</v>
      </c>
    </row>
    <row r="81" spans="2:10" ht="30" x14ac:dyDescent="0.25">
      <c r="B81" s="69">
        <v>73</v>
      </c>
      <c r="C81" s="56" t="s">
        <v>46</v>
      </c>
      <c r="D81" s="56" t="s">
        <v>14</v>
      </c>
      <c r="E81" s="56" t="s">
        <v>123</v>
      </c>
      <c r="F81" s="56" t="s">
        <v>22</v>
      </c>
      <c r="G81" s="56" t="s">
        <v>365</v>
      </c>
      <c r="H81" s="56" t="s">
        <v>396</v>
      </c>
      <c r="I81" s="56">
        <f>150*1.73*6.15*0.4</f>
        <v>638.37000000000012</v>
      </c>
      <c r="J81" s="56" t="s">
        <v>177</v>
      </c>
    </row>
    <row r="82" spans="2:10" ht="45" x14ac:dyDescent="0.25">
      <c r="B82" s="69">
        <v>74</v>
      </c>
      <c r="C82" s="56" t="s">
        <v>46</v>
      </c>
      <c r="D82" s="56" t="s">
        <v>14</v>
      </c>
      <c r="E82" s="56" t="s">
        <v>122</v>
      </c>
      <c r="F82" s="56" t="s">
        <v>35</v>
      </c>
      <c r="G82" s="56" t="s">
        <v>366</v>
      </c>
      <c r="H82" s="56" t="s">
        <v>397</v>
      </c>
      <c r="I82" s="56">
        <f>200*1.73*0.22*10</f>
        <v>761.2</v>
      </c>
      <c r="J82" s="56" t="s">
        <v>198</v>
      </c>
    </row>
    <row r="83" spans="2:10" ht="30" x14ac:dyDescent="0.25">
      <c r="B83" s="69">
        <v>75</v>
      </c>
      <c r="C83" s="56" t="s">
        <v>46</v>
      </c>
      <c r="D83" s="56" t="s">
        <v>14</v>
      </c>
      <c r="E83" s="56" t="s">
        <v>122</v>
      </c>
      <c r="F83" s="56" t="s">
        <v>34</v>
      </c>
      <c r="G83" s="56" t="s">
        <v>367</v>
      </c>
      <c r="H83" s="56" t="s">
        <v>398</v>
      </c>
      <c r="I83" s="56">
        <f>200*1.73*1.62*10</f>
        <v>5605.2</v>
      </c>
      <c r="J83" s="56" t="s">
        <v>176</v>
      </c>
    </row>
    <row r="84" spans="2:10" ht="30" x14ac:dyDescent="0.25">
      <c r="B84" s="69">
        <v>76</v>
      </c>
      <c r="C84" s="56" t="s">
        <v>46</v>
      </c>
      <c r="D84" s="56" t="s">
        <v>14</v>
      </c>
      <c r="E84" s="56" t="s">
        <v>122</v>
      </c>
      <c r="F84" s="56" t="s">
        <v>31</v>
      </c>
      <c r="G84" s="56" t="s">
        <v>368</v>
      </c>
      <c r="H84" s="56" t="s">
        <v>399</v>
      </c>
      <c r="I84" s="56">
        <f>250*1.73*0.75*0.4</f>
        <v>129.75</v>
      </c>
      <c r="J84" s="56" t="s">
        <v>180</v>
      </c>
    </row>
    <row r="85" spans="2:10" ht="30" x14ac:dyDescent="0.25">
      <c r="B85" s="69">
        <v>77</v>
      </c>
      <c r="C85" s="56" t="s">
        <v>46</v>
      </c>
      <c r="D85" s="56" t="s">
        <v>14</v>
      </c>
      <c r="E85" s="56" t="s">
        <v>105</v>
      </c>
      <c r="F85" s="56" t="s">
        <v>33</v>
      </c>
      <c r="G85" s="56" t="s">
        <v>369</v>
      </c>
      <c r="H85" s="56" t="s">
        <v>400</v>
      </c>
      <c r="I85" s="56">
        <f>500*1.73*4.2*0.4</f>
        <v>1453.2</v>
      </c>
      <c r="J85" s="56" t="s">
        <v>199</v>
      </c>
    </row>
    <row r="86" spans="2:10" ht="30" x14ac:dyDescent="0.25">
      <c r="B86" s="69">
        <v>78</v>
      </c>
      <c r="C86" s="56" t="s">
        <v>46</v>
      </c>
      <c r="D86" s="56" t="s">
        <v>14</v>
      </c>
      <c r="E86" s="56" t="s">
        <v>105</v>
      </c>
      <c r="F86" s="56" t="s">
        <v>32</v>
      </c>
      <c r="G86" s="56" t="s">
        <v>370</v>
      </c>
      <c r="H86" s="56" t="s">
        <v>401</v>
      </c>
      <c r="I86" s="56">
        <f>500*1.73*0.22*0.4</f>
        <v>76.12</v>
      </c>
      <c r="J86" s="56" t="s">
        <v>197</v>
      </c>
    </row>
    <row r="87" spans="2:10" ht="30" x14ac:dyDescent="0.25">
      <c r="B87" s="69">
        <v>79</v>
      </c>
      <c r="C87" s="56" t="s">
        <v>46</v>
      </c>
      <c r="D87" s="56" t="s">
        <v>14</v>
      </c>
      <c r="E87" s="56" t="s">
        <v>122</v>
      </c>
      <c r="F87" s="56" t="s">
        <v>31</v>
      </c>
      <c r="G87" s="56" t="s">
        <v>371</v>
      </c>
      <c r="H87" s="56" t="s">
        <v>402</v>
      </c>
      <c r="I87" s="56">
        <f>250*1.73*1.75*0.4</f>
        <v>302.75</v>
      </c>
      <c r="J87" s="56" t="s">
        <v>180</v>
      </c>
    </row>
    <row r="88" spans="2:10" ht="30" x14ac:dyDescent="0.25">
      <c r="B88" s="69">
        <v>80</v>
      </c>
      <c r="C88" s="56" t="s">
        <v>46</v>
      </c>
      <c r="D88" s="56" t="s">
        <v>14</v>
      </c>
      <c r="E88" s="56" t="s">
        <v>122</v>
      </c>
      <c r="F88" s="56" t="s">
        <v>30</v>
      </c>
      <c r="G88" s="56" t="s">
        <v>372</v>
      </c>
      <c r="H88" s="56" t="s">
        <v>403</v>
      </c>
      <c r="I88" s="56">
        <f>250*1.73*1.13*0.4</f>
        <v>195.49</v>
      </c>
      <c r="J88" s="56" t="s">
        <v>232</v>
      </c>
    </row>
    <row r="89" spans="2:10" ht="90" x14ac:dyDescent="0.25">
      <c r="B89" s="69">
        <v>81</v>
      </c>
      <c r="C89" s="56" t="s">
        <v>46</v>
      </c>
      <c r="D89" s="56" t="s">
        <v>14</v>
      </c>
      <c r="E89" s="56" t="s">
        <v>102</v>
      </c>
      <c r="F89" s="56" t="s">
        <v>29</v>
      </c>
      <c r="G89" s="56" t="s">
        <v>373</v>
      </c>
      <c r="H89" s="56" t="s">
        <v>404</v>
      </c>
      <c r="I89" s="56">
        <f>250*1.73*0.983*10</f>
        <v>4251.4749999999995</v>
      </c>
      <c r="J89" s="56" t="s">
        <v>200</v>
      </c>
    </row>
    <row r="90" spans="2:10" ht="90" x14ac:dyDescent="0.25">
      <c r="B90" s="69">
        <v>82</v>
      </c>
      <c r="C90" s="56" t="s">
        <v>46</v>
      </c>
      <c r="D90" s="56" t="s">
        <v>14</v>
      </c>
      <c r="E90" s="56" t="s">
        <v>102</v>
      </c>
      <c r="F90" s="56" t="s">
        <v>29</v>
      </c>
      <c r="G90" s="56" t="s">
        <v>373</v>
      </c>
      <c r="H90" s="56" t="s">
        <v>405</v>
      </c>
      <c r="I90" s="56">
        <f>250*1.73*4.516*10</f>
        <v>19531.7</v>
      </c>
      <c r="J90" s="56" t="s">
        <v>200</v>
      </c>
    </row>
    <row r="91" spans="2:10" ht="45" x14ac:dyDescent="0.25">
      <c r="B91" s="69">
        <v>83</v>
      </c>
      <c r="C91" s="56" t="s">
        <v>46</v>
      </c>
      <c r="D91" s="56" t="s">
        <v>14</v>
      </c>
      <c r="E91" s="56" t="s">
        <v>105</v>
      </c>
      <c r="F91" s="56" t="s">
        <v>28</v>
      </c>
      <c r="G91" s="56" t="s">
        <v>374</v>
      </c>
      <c r="H91" s="56" t="s">
        <v>406</v>
      </c>
      <c r="I91" s="56">
        <f>100*1.73*3.266*10</f>
        <v>5650.18</v>
      </c>
      <c r="J91" s="56" t="s">
        <v>201</v>
      </c>
    </row>
    <row r="92" spans="2:10" ht="30" x14ac:dyDescent="0.25">
      <c r="B92" s="69">
        <v>84</v>
      </c>
      <c r="C92" s="56" t="s">
        <v>46</v>
      </c>
      <c r="D92" s="56" t="s">
        <v>14</v>
      </c>
      <c r="E92" s="56" t="s">
        <v>105</v>
      </c>
      <c r="F92" s="56" t="s">
        <v>27</v>
      </c>
      <c r="G92" s="56" t="s">
        <v>375</v>
      </c>
      <c r="H92" s="56" t="s">
        <v>407</v>
      </c>
      <c r="I92" s="56">
        <f>150*1.73*0.683*0.4</f>
        <v>70.895400000000009</v>
      </c>
      <c r="J92" s="56" t="s">
        <v>195</v>
      </c>
    </row>
    <row r="93" spans="2:10" ht="30" x14ac:dyDescent="0.25">
      <c r="B93" s="69">
        <v>85</v>
      </c>
      <c r="C93" s="56" t="s">
        <v>46</v>
      </c>
      <c r="D93" s="56" t="s">
        <v>14</v>
      </c>
      <c r="E93" s="56" t="s">
        <v>105</v>
      </c>
      <c r="F93" s="56" t="s">
        <v>26</v>
      </c>
      <c r="G93" s="56" t="s">
        <v>376</v>
      </c>
      <c r="H93" s="56" t="s">
        <v>408</v>
      </c>
      <c r="I93" s="56">
        <f>150*1.73*1.016*0.4</f>
        <v>105.46080000000001</v>
      </c>
      <c r="J93" s="56" t="s">
        <v>177</v>
      </c>
    </row>
    <row r="94" spans="2:10" ht="30" x14ac:dyDescent="0.25">
      <c r="B94" s="69">
        <v>86</v>
      </c>
      <c r="C94" s="56" t="s">
        <v>46</v>
      </c>
      <c r="D94" s="56" t="s">
        <v>14</v>
      </c>
      <c r="E94" s="56" t="s">
        <v>105</v>
      </c>
      <c r="F94" s="56" t="s">
        <v>25</v>
      </c>
      <c r="G94" s="56" t="s">
        <v>377</v>
      </c>
      <c r="H94" s="56" t="s">
        <v>409</v>
      </c>
      <c r="I94" s="56">
        <f>150*1.73*0.633</f>
        <v>164.26349999999999</v>
      </c>
      <c r="J94" s="56" t="s">
        <v>195</v>
      </c>
    </row>
    <row r="95" spans="2:10" ht="30" x14ac:dyDescent="0.25">
      <c r="B95" s="69">
        <v>87</v>
      </c>
      <c r="C95" s="56" t="s">
        <v>46</v>
      </c>
      <c r="D95" s="56" t="s">
        <v>14</v>
      </c>
      <c r="E95" s="56" t="s">
        <v>105</v>
      </c>
      <c r="F95" s="56" t="s">
        <v>24</v>
      </c>
      <c r="G95" s="56" t="s">
        <v>378</v>
      </c>
      <c r="H95" s="56" t="s">
        <v>410</v>
      </c>
      <c r="I95" s="56">
        <f>150*1.73*0.6</f>
        <v>155.69999999999999</v>
      </c>
      <c r="J95" s="56" t="s">
        <v>195</v>
      </c>
    </row>
    <row r="96" spans="2:10" ht="30" x14ac:dyDescent="0.25">
      <c r="B96" s="69">
        <v>88</v>
      </c>
      <c r="C96" s="56" t="s">
        <v>46</v>
      </c>
      <c r="D96" s="56" t="s">
        <v>14</v>
      </c>
      <c r="E96" s="56" t="s">
        <v>105</v>
      </c>
      <c r="F96" s="56" t="s">
        <v>23</v>
      </c>
      <c r="G96" s="56" t="s">
        <v>379</v>
      </c>
      <c r="H96" s="56" t="s">
        <v>411</v>
      </c>
      <c r="I96" s="56">
        <f>150*1.73*0.966</f>
        <v>250.67699999999999</v>
      </c>
      <c r="J96" s="56" t="s">
        <v>195</v>
      </c>
    </row>
    <row r="97" spans="2:10" ht="30" x14ac:dyDescent="0.25">
      <c r="B97" s="69">
        <v>89</v>
      </c>
      <c r="C97" s="56" t="s">
        <v>46</v>
      </c>
      <c r="D97" s="56" t="s">
        <v>14</v>
      </c>
      <c r="E97" s="56" t="s">
        <v>123</v>
      </c>
      <c r="F97" s="56" t="s">
        <v>22</v>
      </c>
      <c r="G97" s="56" t="s">
        <v>380</v>
      </c>
      <c r="H97" s="56" t="s">
        <v>412</v>
      </c>
      <c r="I97" s="56">
        <f>150*1.73*0.95</f>
        <v>246.52499999999998</v>
      </c>
      <c r="J97" s="56" t="s">
        <v>177</v>
      </c>
    </row>
    <row r="98" spans="2:10" ht="30" x14ac:dyDescent="0.25">
      <c r="B98" s="69">
        <v>90</v>
      </c>
      <c r="C98" s="56" t="s">
        <v>46</v>
      </c>
      <c r="D98" s="56" t="s">
        <v>14</v>
      </c>
      <c r="E98" s="56" t="s">
        <v>105</v>
      </c>
      <c r="F98" s="56" t="s">
        <v>21</v>
      </c>
      <c r="G98" s="56" t="s">
        <v>381</v>
      </c>
      <c r="H98" s="56" t="s">
        <v>413</v>
      </c>
      <c r="I98" s="56">
        <f>200*1.73*4.53</f>
        <v>1567.38</v>
      </c>
      <c r="J98" s="56" t="s">
        <v>202</v>
      </c>
    </row>
    <row r="99" spans="2:10" ht="30" x14ac:dyDescent="0.25">
      <c r="B99" s="69">
        <v>91</v>
      </c>
      <c r="C99" s="56" t="s">
        <v>46</v>
      </c>
      <c r="D99" s="56" t="s">
        <v>14</v>
      </c>
      <c r="E99" s="56" t="s">
        <v>105</v>
      </c>
      <c r="F99" s="56" t="s">
        <v>20</v>
      </c>
      <c r="G99" s="56" t="s">
        <v>382</v>
      </c>
      <c r="H99" s="56" t="s">
        <v>414</v>
      </c>
      <c r="I99" s="56">
        <f>150*1.73*0.78</f>
        <v>202.41</v>
      </c>
      <c r="J99" s="56" t="s">
        <v>177</v>
      </c>
    </row>
    <row r="100" spans="2:10" ht="30" x14ac:dyDescent="0.25">
      <c r="B100" s="69">
        <v>92</v>
      </c>
      <c r="C100" s="56" t="s">
        <v>46</v>
      </c>
      <c r="D100" s="56" t="s">
        <v>14</v>
      </c>
      <c r="E100" s="56" t="s">
        <v>105</v>
      </c>
      <c r="F100" s="56" t="s">
        <v>19</v>
      </c>
      <c r="G100" s="56" t="s">
        <v>383</v>
      </c>
      <c r="H100" s="56" t="s">
        <v>415</v>
      </c>
      <c r="I100" s="56">
        <f>150*1.73*2.683</f>
        <v>696.23849999999993</v>
      </c>
      <c r="J100" s="56" t="s">
        <v>203</v>
      </c>
    </row>
    <row r="101" spans="2:10" ht="30" x14ac:dyDescent="0.25">
      <c r="B101" s="69">
        <v>93</v>
      </c>
      <c r="C101" s="56" t="s">
        <v>46</v>
      </c>
      <c r="D101" s="56" t="s">
        <v>14</v>
      </c>
      <c r="E101" s="56" t="s">
        <v>105</v>
      </c>
      <c r="F101" s="56" t="s">
        <v>17</v>
      </c>
      <c r="G101" s="56" t="s">
        <v>384</v>
      </c>
      <c r="H101" s="56" t="s">
        <v>416</v>
      </c>
      <c r="I101" s="56">
        <f>150*1.73*2.316</f>
        <v>601.00199999999995</v>
      </c>
      <c r="J101" s="56" t="s">
        <v>204</v>
      </c>
    </row>
    <row r="102" spans="2:10" ht="45" x14ac:dyDescent="0.25">
      <c r="B102" s="69">
        <v>94</v>
      </c>
      <c r="C102" s="56" t="s">
        <v>46</v>
      </c>
      <c r="D102" s="56" t="s">
        <v>14</v>
      </c>
      <c r="E102" s="56" t="s">
        <v>105</v>
      </c>
      <c r="F102" s="56" t="s">
        <v>18</v>
      </c>
      <c r="G102" s="56" t="s">
        <v>385</v>
      </c>
      <c r="H102" s="56" t="s">
        <v>417</v>
      </c>
      <c r="I102" s="56">
        <f>150*1.73*0.55</f>
        <v>142.72500000000002</v>
      </c>
      <c r="J102" s="56" t="s">
        <v>205</v>
      </c>
    </row>
    <row r="103" spans="2:10" ht="30" x14ac:dyDescent="0.25">
      <c r="B103" s="69">
        <v>95</v>
      </c>
      <c r="C103" s="56" t="s">
        <v>46</v>
      </c>
      <c r="D103" s="56" t="s">
        <v>14</v>
      </c>
      <c r="E103" s="56" t="s">
        <v>162</v>
      </c>
      <c r="F103" s="56" t="s">
        <v>125</v>
      </c>
      <c r="G103" s="56" t="s">
        <v>418</v>
      </c>
      <c r="H103" s="56" t="s">
        <v>455</v>
      </c>
      <c r="I103" s="56">
        <f>100*1.73*3.283*10</f>
        <v>5679.5899999999992</v>
      </c>
      <c r="J103" s="56" t="s">
        <v>220</v>
      </c>
    </row>
    <row r="104" spans="2:10" ht="45" x14ac:dyDescent="0.25">
      <c r="B104" s="69">
        <v>96</v>
      </c>
      <c r="C104" s="56" t="s">
        <v>46</v>
      </c>
      <c r="D104" s="56" t="s">
        <v>14</v>
      </c>
      <c r="E104" s="56" t="s">
        <v>105</v>
      </c>
      <c r="F104" s="56" t="s">
        <v>126</v>
      </c>
      <c r="G104" s="56" t="s">
        <v>419</v>
      </c>
      <c r="H104" s="56" t="s">
        <v>456</v>
      </c>
      <c r="I104" s="56">
        <f>200*1.73*1.216*10</f>
        <v>4207.3599999999997</v>
      </c>
      <c r="J104" s="56" t="s">
        <v>219</v>
      </c>
    </row>
    <row r="105" spans="2:10" ht="30" x14ac:dyDescent="0.25">
      <c r="B105" s="69">
        <v>97</v>
      </c>
      <c r="C105" s="56" t="s">
        <v>46</v>
      </c>
      <c r="D105" s="56" t="s">
        <v>14</v>
      </c>
      <c r="E105" s="56" t="s">
        <v>122</v>
      </c>
      <c r="F105" s="56" t="s">
        <v>127</v>
      </c>
      <c r="G105" s="56" t="s">
        <v>420</v>
      </c>
      <c r="H105" s="56" t="s">
        <v>457</v>
      </c>
      <c r="I105" s="56">
        <f>300*1.73*6.833*10</f>
        <v>35463.270000000004</v>
      </c>
      <c r="J105" s="56" t="s">
        <v>218</v>
      </c>
    </row>
    <row r="106" spans="2:10" ht="60" x14ac:dyDescent="0.25">
      <c r="B106" s="69">
        <v>98</v>
      </c>
      <c r="C106" s="56" t="s">
        <v>46</v>
      </c>
      <c r="D106" s="56" t="s">
        <v>14</v>
      </c>
      <c r="E106" s="56" t="s">
        <v>161</v>
      </c>
      <c r="F106" s="56" t="s">
        <v>128</v>
      </c>
      <c r="G106" s="56" t="s">
        <v>421</v>
      </c>
      <c r="H106" s="56" t="s">
        <v>425</v>
      </c>
      <c r="I106" s="56">
        <f>100*1.73*2.066*10</f>
        <v>3574.1799999999994</v>
      </c>
      <c r="J106" s="56" t="s">
        <v>217</v>
      </c>
    </row>
    <row r="107" spans="2:10" ht="30" x14ac:dyDescent="0.25">
      <c r="B107" s="69">
        <v>99</v>
      </c>
      <c r="C107" s="56" t="s">
        <v>46</v>
      </c>
      <c r="D107" s="56" t="s">
        <v>14</v>
      </c>
      <c r="E107" s="56" t="s">
        <v>163</v>
      </c>
      <c r="F107" s="56" t="s">
        <v>129</v>
      </c>
      <c r="G107" s="56" t="s">
        <v>422</v>
      </c>
      <c r="H107" s="56" t="s">
        <v>458</v>
      </c>
      <c r="I107" s="56">
        <f>100*1.73*0.9*10</f>
        <v>1557.0000000000002</v>
      </c>
      <c r="J107" s="56" t="s">
        <v>207</v>
      </c>
    </row>
    <row r="108" spans="2:10" ht="30" x14ac:dyDescent="0.25">
      <c r="B108" s="69">
        <v>100</v>
      </c>
      <c r="C108" s="56" t="s">
        <v>46</v>
      </c>
      <c r="D108" s="56" t="s">
        <v>14</v>
      </c>
      <c r="E108" s="56" t="s">
        <v>105</v>
      </c>
      <c r="F108" s="56" t="s">
        <v>130</v>
      </c>
      <c r="G108" s="56" t="s">
        <v>423</v>
      </c>
      <c r="H108" s="56" t="s">
        <v>459</v>
      </c>
      <c r="I108" s="56">
        <f>150*1.73*2.2*0.4</f>
        <v>228.36000000000004</v>
      </c>
      <c r="J108" s="56" t="s">
        <v>177</v>
      </c>
    </row>
    <row r="109" spans="2:10" ht="30" x14ac:dyDescent="0.25">
      <c r="B109" s="69">
        <v>101</v>
      </c>
      <c r="C109" s="56" t="s">
        <v>46</v>
      </c>
      <c r="D109" s="56" t="s">
        <v>14</v>
      </c>
      <c r="E109" s="56" t="s">
        <v>105</v>
      </c>
      <c r="F109" s="56" t="s">
        <v>131</v>
      </c>
      <c r="G109" s="56" t="s">
        <v>424</v>
      </c>
      <c r="H109" s="56" t="s">
        <v>460</v>
      </c>
      <c r="I109" s="56">
        <f>150*1.73*1.583*0.4</f>
        <v>164.31540000000001</v>
      </c>
      <c r="J109" s="56" t="s">
        <v>216</v>
      </c>
    </row>
    <row r="110" spans="2:10" ht="30" x14ac:dyDescent="0.25">
      <c r="B110" s="69">
        <v>102</v>
      </c>
      <c r="C110" s="56" t="s">
        <v>46</v>
      </c>
      <c r="D110" s="56" t="s">
        <v>14</v>
      </c>
      <c r="E110" s="56" t="s">
        <v>105</v>
      </c>
      <c r="F110" s="56" t="s">
        <v>132</v>
      </c>
      <c r="G110" s="56" t="s">
        <v>425</v>
      </c>
      <c r="H110" s="56" t="s">
        <v>424</v>
      </c>
      <c r="I110" s="56">
        <f>150*1.73*1.25*0.4</f>
        <v>129.75</v>
      </c>
      <c r="J110" s="56" t="s">
        <v>177</v>
      </c>
    </row>
    <row r="111" spans="2:10" ht="45" x14ac:dyDescent="0.25">
      <c r="B111" s="69">
        <v>103</v>
      </c>
      <c r="C111" s="56" t="s">
        <v>46</v>
      </c>
      <c r="D111" s="56" t="s">
        <v>14</v>
      </c>
      <c r="E111" s="56" t="s">
        <v>164</v>
      </c>
      <c r="F111" s="56" t="s">
        <v>133</v>
      </c>
      <c r="G111" s="56" t="s">
        <v>426</v>
      </c>
      <c r="H111" s="56" t="s">
        <v>461</v>
      </c>
      <c r="I111" s="56">
        <f>500*1.73*9.8*10</f>
        <v>84770</v>
      </c>
      <c r="J111" s="56" t="s">
        <v>227</v>
      </c>
    </row>
    <row r="112" spans="2:10" ht="30" x14ac:dyDescent="0.25">
      <c r="B112" s="69">
        <v>104</v>
      </c>
      <c r="C112" s="56" t="s">
        <v>46</v>
      </c>
      <c r="D112" s="56" t="s">
        <v>14</v>
      </c>
      <c r="E112" s="56" t="s">
        <v>105</v>
      </c>
      <c r="F112" s="56" t="s">
        <v>134</v>
      </c>
      <c r="G112" s="56" t="s">
        <v>427</v>
      </c>
      <c r="H112" s="56" t="s">
        <v>462</v>
      </c>
      <c r="I112" s="56">
        <f>150*1.73*3.416*0.4</f>
        <v>354.58080000000001</v>
      </c>
      <c r="J112" s="56" t="s">
        <v>177</v>
      </c>
    </row>
    <row r="113" spans="2:10" ht="30" x14ac:dyDescent="0.25">
      <c r="B113" s="69">
        <v>105</v>
      </c>
      <c r="C113" s="56" t="s">
        <v>46</v>
      </c>
      <c r="D113" s="56" t="s">
        <v>14</v>
      </c>
      <c r="E113" s="56" t="s">
        <v>105</v>
      </c>
      <c r="F113" s="56" t="s">
        <v>135</v>
      </c>
      <c r="G113" s="56" t="s">
        <v>428</v>
      </c>
      <c r="H113" s="56" t="s">
        <v>463</v>
      </c>
      <c r="I113" s="56">
        <f>150*1.73*0.983*0.4</f>
        <v>102.0354</v>
      </c>
      <c r="J113" s="56" t="s">
        <v>214</v>
      </c>
    </row>
    <row r="114" spans="2:10" ht="30" x14ac:dyDescent="0.25">
      <c r="B114" s="69">
        <v>106</v>
      </c>
      <c r="C114" s="56" t="s">
        <v>46</v>
      </c>
      <c r="D114" s="56" t="s">
        <v>14</v>
      </c>
      <c r="E114" s="56" t="s">
        <v>105</v>
      </c>
      <c r="F114" s="56" t="s">
        <v>136</v>
      </c>
      <c r="G114" s="56" t="s">
        <v>429</v>
      </c>
      <c r="H114" s="56" t="s">
        <v>464</v>
      </c>
      <c r="I114" s="56">
        <f>150*1.73*2.883*0.4</f>
        <v>299.25540000000001</v>
      </c>
      <c r="J114" s="56" t="s">
        <v>216</v>
      </c>
    </row>
    <row r="115" spans="2:10" ht="30" x14ac:dyDescent="0.25">
      <c r="B115" s="69">
        <v>107</v>
      </c>
      <c r="C115" s="56" t="s">
        <v>46</v>
      </c>
      <c r="D115" s="56" t="s">
        <v>14</v>
      </c>
      <c r="E115" s="56" t="s">
        <v>105</v>
      </c>
      <c r="F115" s="56" t="s">
        <v>137</v>
      </c>
      <c r="G115" s="56" t="s">
        <v>430</v>
      </c>
      <c r="H115" s="56" t="s">
        <v>465</v>
      </c>
      <c r="I115" s="56">
        <f>150*1.73*1.666*0.4</f>
        <v>172.9308</v>
      </c>
      <c r="J115" s="56" t="s">
        <v>177</v>
      </c>
    </row>
    <row r="116" spans="2:10" ht="30" x14ac:dyDescent="0.25">
      <c r="B116" s="69">
        <v>108</v>
      </c>
      <c r="C116" s="56" t="s">
        <v>46</v>
      </c>
      <c r="D116" s="56" t="s">
        <v>14</v>
      </c>
      <c r="E116" s="56" t="s">
        <v>105</v>
      </c>
      <c r="F116" s="56" t="s">
        <v>138</v>
      </c>
      <c r="G116" s="56" t="s">
        <v>431</v>
      </c>
      <c r="H116" s="56" t="s">
        <v>466</v>
      </c>
      <c r="I116" s="56">
        <f>150*1.73*4.616*0.4</f>
        <v>479.14079999999996</v>
      </c>
      <c r="J116" s="56" t="s">
        <v>209</v>
      </c>
    </row>
    <row r="117" spans="2:10" ht="60" x14ac:dyDescent="0.25">
      <c r="B117" s="69">
        <v>109</v>
      </c>
      <c r="C117" s="56" t="s">
        <v>46</v>
      </c>
      <c r="D117" s="56" t="s">
        <v>14</v>
      </c>
      <c r="E117" s="56" t="s">
        <v>110</v>
      </c>
      <c r="F117" s="56" t="s">
        <v>139</v>
      </c>
      <c r="G117" s="56" t="s">
        <v>432</v>
      </c>
      <c r="H117" s="56" t="s">
        <v>467</v>
      </c>
      <c r="I117" s="56">
        <f>100*1.73*1.566*10</f>
        <v>2709.1800000000003</v>
      </c>
      <c r="J117" s="56" t="s">
        <v>215</v>
      </c>
    </row>
    <row r="118" spans="2:10" ht="30" x14ac:dyDescent="0.25">
      <c r="B118" s="69">
        <v>110</v>
      </c>
      <c r="C118" s="56" t="s">
        <v>46</v>
      </c>
      <c r="D118" s="56" t="s">
        <v>14</v>
      </c>
      <c r="E118" s="56" t="s">
        <v>105</v>
      </c>
      <c r="F118" s="56" t="s">
        <v>140</v>
      </c>
      <c r="G118" s="56" t="s">
        <v>433</v>
      </c>
      <c r="H118" s="56" t="s">
        <v>468</v>
      </c>
      <c r="I118" s="56">
        <f>15*1.73*14.683*6</f>
        <v>2286.1430999999998</v>
      </c>
      <c r="J118" s="56" t="s">
        <v>226</v>
      </c>
    </row>
    <row r="119" spans="2:10" ht="30" x14ac:dyDescent="0.25">
      <c r="B119" s="69">
        <v>111</v>
      </c>
      <c r="C119" s="56" t="s">
        <v>46</v>
      </c>
      <c r="D119" s="56" t="s">
        <v>14</v>
      </c>
      <c r="E119" s="56" t="s">
        <v>105</v>
      </c>
      <c r="F119" s="56" t="s">
        <v>141</v>
      </c>
      <c r="G119" s="56" t="s">
        <v>434</v>
      </c>
      <c r="H119" s="56" t="s">
        <v>469</v>
      </c>
      <c r="I119" s="56">
        <f>150*1.73*2.15*0.4</f>
        <v>223.17</v>
      </c>
      <c r="J119" s="56" t="s">
        <v>214</v>
      </c>
    </row>
    <row r="120" spans="2:10" ht="30" x14ac:dyDescent="0.25">
      <c r="B120" s="69">
        <v>112</v>
      </c>
      <c r="C120" s="56" t="s">
        <v>46</v>
      </c>
      <c r="D120" s="56" t="s">
        <v>14</v>
      </c>
      <c r="E120" s="56" t="s">
        <v>105</v>
      </c>
      <c r="F120" s="56" t="s">
        <v>142</v>
      </c>
      <c r="G120" s="56" t="s">
        <v>435</v>
      </c>
      <c r="H120" s="56" t="s">
        <v>470</v>
      </c>
      <c r="I120" s="56">
        <f>150*1.73*2.72*0.4</f>
        <v>282.33600000000001</v>
      </c>
      <c r="J120" s="56" t="s">
        <v>214</v>
      </c>
    </row>
    <row r="121" spans="2:10" ht="30" x14ac:dyDescent="0.25">
      <c r="B121" s="69">
        <v>113</v>
      </c>
      <c r="C121" s="56" t="s">
        <v>46</v>
      </c>
      <c r="D121" s="56" t="s">
        <v>14</v>
      </c>
      <c r="E121" s="56" t="s">
        <v>105</v>
      </c>
      <c r="F121" s="56" t="s">
        <v>143</v>
      </c>
      <c r="G121" s="56" t="s">
        <v>436</v>
      </c>
      <c r="H121" s="56" t="s">
        <v>471</v>
      </c>
      <c r="I121" s="56">
        <f>200*1.73*1.133*0.4</f>
        <v>156.80720000000002</v>
      </c>
      <c r="J121" s="56" t="s">
        <v>213</v>
      </c>
    </row>
    <row r="122" spans="2:10" ht="30" x14ac:dyDescent="0.25">
      <c r="B122" s="69">
        <v>114</v>
      </c>
      <c r="C122" s="56" t="s">
        <v>46</v>
      </c>
      <c r="D122" s="56" t="s">
        <v>14</v>
      </c>
      <c r="E122" s="56" t="s">
        <v>162</v>
      </c>
      <c r="F122" s="56" t="s">
        <v>144</v>
      </c>
      <c r="G122" s="56" t="s">
        <v>437</v>
      </c>
      <c r="H122" s="56" t="s">
        <v>472</v>
      </c>
      <c r="I122" s="56">
        <f>10*1.73*60*1.65</f>
        <v>1712.6999999999998</v>
      </c>
      <c r="J122" s="56"/>
    </row>
    <row r="123" spans="2:10" ht="30" x14ac:dyDescent="0.25">
      <c r="B123" s="69">
        <v>115</v>
      </c>
      <c r="C123" s="56" t="s">
        <v>46</v>
      </c>
      <c r="D123" s="56" t="s">
        <v>14</v>
      </c>
      <c r="E123" s="56" t="s">
        <v>105</v>
      </c>
      <c r="F123" s="56" t="s">
        <v>145</v>
      </c>
      <c r="G123" s="56" t="s">
        <v>438</v>
      </c>
      <c r="H123" s="56" t="s">
        <v>473</v>
      </c>
      <c r="I123" s="56">
        <f>10*20*1.73*2.75</f>
        <v>951.5</v>
      </c>
      <c r="J123" s="56" t="s">
        <v>209</v>
      </c>
    </row>
    <row r="124" spans="2:10" ht="30" x14ac:dyDescent="0.25">
      <c r="B124" s="69">
        <v>116</v>
      </c>
      <c r="C124" s="56" t="s">
        <v>46</v>
      </c>
      <c r="D124" s="56" t="s">
        <v>14</v>
      </c>
      <c r="E124" s="56" t="s">
        <v>165</v>
      </c>
      <c r="F124" s="56" t="s">
        <v>146</v>
      </c>
      <c r="G124" s="56" t="s">
        <v>439</v>
      </c>
      <c r="H124" s="56" t="s">
        <v>474</v>
      </c>
      <c r="I124" s="56">
        <f>0.4*1.73*160*3.55</f>
        <v>393.05600000000004</v>
      </c>
      <c r="J124" s="56" t="s">
        <v>191</v>
      </c>
    </row>
    <row r="125" spans="2:10" ht="30" x14ac:dyDescent="0.25">
      <c r="B125" s="69">
        <v>117</v>
      </c>
      <c r="C125" s="56" t="s">
        <v>46</v>
      </c>
      <c r="D125" s="56" t="s">
        <v>14</v>
      </c>
      <c r="E125" s="56" t="s">
        <v>105</v>
      </c>
      <c r="F125" s="56" t="s">
        <v>147</v>
      </c>
      <c r="G125" s="56" t="s">
        <v>440</v>
      </c>
      <c r="H125" s="56" t="s">
        <v>475</v>
      </c>
      <c r="I125" s="56">
        <f>150*1.73*0.283*0.4</f>
        <v>29.375399999999999</v>
      </c>
      <c r="J125" s="56" t="s">
        <v>212</v>
      </c>
    </row>
    <row r="126" spans="2:10" ht="30" x14ac:dyDescent="0.25">
      <c r="B126" s="69">
        <v>118</v>
      </c>
      <c r="C126" s="56" t="s">
        <v>46</v>
      </c>
      <c r="D126" s="56" t="s">
        <v>14</v>
      </c>
      <c r="E126" s="56" t="s">
        <v>105</v>
      </c>
      <c r="F126" s="56" t="s">
        <v>148</v>
      </c>
      <c r="G126" s="56" t="s">
        <v>441</v>
      </c>
      <c r="H126" s="56" t="s">
        <v>476</v>
      </c>
      <c r="I126" s="56">
        <f>200*1.73*1.88*10</f>
        <v>6504.8</v>
      </c>
      <c r="J126" s="56" t="s">
        <v>211</v>
      </c>
    </row>
    <row r="127" spans="2:10" ht="30" x14ac:dyDescent="0.25">
      <c r="B127" s="69">
        <v>119</v>
      </c>
      <c r="C127" s="56" t="s">
        <v>46</v>
      </c>
      <c r="D127" s="56" t="s">
        <v>14</v>
      </c>
      <c r="E127" s="56" t="s">
        <v>105</v>
      </c>
      <c r="F127" s="56" t="s">
        <v>149</v>
      </c>
      <c r="G127" s="56" t="s">
        <v>442</v>
      </c>
      <c r="H127" s="56" t="s">
        <v>477</v>
      </c>
      <c r="I127" s="56">
        <f>500*1.73*3.766*0.4</f>
        <v>1303.0360000000001</v>
      </c>
      <c r="J127" s="56" t="s">
        <v>206</v>
      </c>
    </row>
    <row r="128" spans="2:10" ht="30" x14ac:dyDescent="0.25">
      <c r="B128" s="69">
        <v>120</v>
      </c>
      <c r="C128" s="56" t="s">
        <v>46</v>
      </c>
      <c r="D128" s="56" t="s">
        <v>14</v>
      </c>
      <c r="E128" s="56" t="s">
        <v>105</v>
      </c>
      <c r="F128" s="56" t="s">
        <v>150</v>
      </c>
      <c r="G128" s="56" t="s">
        <v>443</v>
      </c>
      <c r="H128" s="56" t="s">
        <v>478</v>
      </c>
      <c r="I128" s="56">
        <f>150*1.73*2.683*0.4</f>
        <v>278.49539999999996</v>
      </c>
      <c r="J128" s="56" t="s">
        <v>225</v>
      </c>
    </row>
    <row r="129" spans="2:10" ht="30" x14ac:dyDescent="0.25">
      <c r="B129" s="69">
        <v>121</v>
      </c>
      <c r="C129" s="56" t="s">
        <v>46</v>
      </c>
      <c r="D129" s="56" t="s">
        <v>14</v>
      </c>
      <c r="E129" s="56" t="s">
        <v>166</v>
      </c>
      <c r="F129" s="56" t="s">
        <v>151</v>
      </c>
      <c r="G129" s="56" t="s">
        <v>444</v>
      </c>
      <c r="H129" s="56" t="s">
        <v>479</v>
      </c>
      <c r="I129" s="56">
        <f>10*1.73*240*4.283</f>
        <v>17783.016000000003</v>
      </c>
      <c r="J129" s="56" t="s">
        <v>211</v>
      </c>
    </row>
    <row r="130" spans="2:10" ht="30" x14ac:dyDescent="0.25">
      <c r="B130" s="69">
        <v>122</v>
      </c>
      <c r="C130" s="56" t="s">
        <v>46</v>
      </c>
      <c r="D130" s="56" t="s">
        <v>14</v>
      </c>
      <c r="E130" s="56" t="s">
        <v>105</v>
      </c>
      <c r="F130" s="56" t="s">
        <v>71</v>
      </c>
      <c r="G130" s="56" t="s">
        <v>445</v>
      </c>
      <c r="H130" s="56" t="s">
        <v>480</v>
      </c>
      <c r="I130" s="56">
        <f>10*1.73*100*5.733</f>
        <v>9918.09</v>
      </c>
      <c r="J130" s="56" t="s">
        <v>180</v>
      </c>
    </row>
    <row r="131" spans="2:10" ht="30" x14ac:dyDescent="0.25">
      <c r="B131" s="69">
        <v>123</v>
      </c>
      <c r="C131" s="56" t="s">
        <v>46</v>
      </c>
      <c r="D131" s="56" t="s">
        <v>14</v>
      </c>
      <c r="E131" s="56" t="s">
        <v>105</v>
      </c>
      <c r="F131" s="56" t="s">
        <v>152</v>
      </c>
      <c r="G131" s="56" t="s">
        <v>446</v>
      </c>
      <c r="H131" s="56" t="s">
        <v>481</v>
      </c>
      <c r="I131" s="56">
        <f>10*1.73*16*2.933</f>
        <v>811.85439999999994</v>
      </c>
      <c r="J131" s="56" t="s">
        <v>208</v>
      </c>
    </row>
    <row r="132" spans="2:10" ht="30" x14ac:dyDescent="0.25">
      <c r="B132" s="69">
        <v>124</v>
      </c>
      <c r="C132" s="56" t="s">
        <v>46</v>
      </c>
      <c r="D132" s="56" t="s">
        <v>14</v>
      </c>
      <c r="E132" s="56" t="s">
        <v>105</v>
      </c>
      <c r="F132" s="56" t="s">
        <v>153</v>
      </c>
      <c r="G132" s="56" t="s">
        <v>447</v>
      </c>
      <c r="H132" s="56" t="s">
        <v>482</v>
      </c>
      <c r="I132" s="56">
        <f>150*1.73*0.666*0.4</f>
        <v>69.130800000000008</v>
      </c>
      <c r="J132" s="56" t="s">
        <v>209</v>
      </c>
    </row>
    <row r="133" spans="2:10" ht="30" x14ac:dyDescent="0.25">
      <c r="B133" s="69">
        <v>125</v>
      </c>
      <c r="C133" s="56" t="s">
        <v>46</v>
      </c>
      <c r="D133" s="56" t="s">
        <v>14</v>
      </c>
      <c r="E133" s="56" t="s">
        <v>105</v>
      </c>
      <c r="F133" s="56" t="s">
        <v>154</v>
      </c>
      <c r="G133" s="56" t="s">
        <v>448</v>
      </c>
      <c r="H133" s="56" t="s">
        <v>483</v>
      </c>
      <c r="I133" s="56">
        <f>150*1.73*2.583*0.4</f>
        <v>268.11540000000002</v>
      </c>
      <c r="J133" s="56" t="s">
        <v>210</v>
      </c>
    </row>
    <row r="134" spans="2:10" ht="30" x14ac:dyDescent="0.25">
      <c r="B134" s="69">
        <v>126</v>
      </c>
      <c r="C134" s="56" t="s">
        <v>46</v>
      </c>
      <c r="D134" s="56" t="s">
        <v>14</v>
      </c>
      <c r="E134" s="56" t="s">
        <v>105</v>
      </c>
      <c r="F134" s="56" t="s">
        <v>155</v>
      </c>
      <c r="G134" s="56" t="s">
        <v>446</v>
      </c>
      <c r="H134" s="56" t="s">
        <v>484</v>
      </c>
      <c r="I134" s="56">
        <f>100*1.73*0.55*10</f>
        <v>951.5</v>
      </c>
      <c r="J134" s="56" t="s">
        <v>221</v>
      </c>
    </row>
    <row r="135" spans="2:10" ht="45" x14ac:dyDescent="0.25">
      <c r="B135" s="69">
        <v>127</v>
      </c>
      <c r="C135" s="56" t="s">
        <v>46</v>
      </c>
      <c r="D135" s="56" t="s">
        <v>14</v>
      </c>
      <c r="E135" s="56" t="s">
        <v>105</v>
      </c>
      <c r="F135" s="56" t="s">
        <v>156</v>
      </c>
      <c r="G135" s="56" t="s">
        <v>449</v>
      </c>
      <c r="H135" s="56" t="s">
        <v>485</v>
      </c>
      <c r="I135" s="56">
        <f>100*1.73*0.416*10</f>
        <v>719.68000000000006</v>
      </c>
      <c r="J135" s="56" t="s">
        <v>224</v>
      </c>
    </row>
    <row r="136" spans="2:10" ht="30" x14ac:dyDescent="0.25">
      <c r="B136" s="69">
        <v>128</v>
      </c>
      <c r="C136" s="56" t="s">
        <v>46</v>
      </c>
      <c r="D136" s="56" t="s">
        <v>14</v>
      </c>
      <c r="E136" s="56" t="s">
        <v>165</v>
      </c>
      <c r="F136" s="56" t="s">
        <v>146</v>
      </c>
      <c r="G136" s="56" t="s">
        <v>450</v>
      </c>
      <c r="H136" s="56" t="s">
        <v>486</v>
      </c>
      <c r="I136" s="56">
        <f>10*1.73*60*2.226</f>
        <v>2310.5880000000002</v>
      </c>
      <c r="J136" s="56" t="s">
        <v>207</v>
      </c>
    </row>
    <row r="137" spans="2:10" ht="30" x14ac:dyDescent="0.25">
      <c r="B137" s="69">
        <v>129</v>
      </c>
      <c r="C137" s="56" t="s">
        <v>46</v>
      </c>
      <c r="D137" s="56" t="s">
        <v>14</v>
      </c>
      <c r="E137" s="56" t="s">
        <v>164</v>
      </c>
      <c r="F137" s="56" t="s">
        <v>157</v>
      </c>
      <c r="G137" s="56" t="s">
        <v>451</v>
      </c>
      <c r="H137" s="56" t="s">
        <v>487</v>
      </c>
      <c r="I137" s="56">
        <f>10*1.73*60*2.2</f>
        <v>2283.6000000000004</v>
      </c>
      <c r="J137" s="56" t="s">
        <v>223</v>
      </c>
    </row>
    <row r="138" spans="2:10" ht="30" x14ac:dyDescent="0.25">
      <c r="B138" s="69">
        <v>130</v>
      </c>
      <c r="C138" s="56" t="s">
        <v>46</v>
      </c>
      <c r="D138" s="56" t="s">
        <v>14</v>
      </c>
      <c r="E138" s="56" t="s">
        <v>105</v>
      </c>
      <c r="F138" s="56" t="s">
        <v>158</v>
      </c>
      <c r="G138" s="56" t="s">
        <v>452</v>
      </c>
      <c r="H138" s="56" t="s">
        <v>488</v>
      </c>
      <c r="I138" s="56">
        <f>10*1.73*200*2.966</f>
        <v>10262.36</v>
      </c>
      <c r="J138" s="56" t="s">
        <v>222</v>
      </c>
    </row>
    <row r="139" spans="2:10" ht="30" x14ac:dyDescent="0.25">
      <c r="B139" s="69">
        <v>131</v>
      </c>
      <c r="C139" s="56" t="s">
        <v>46</v>
      </c>
      <c r="D139" s="56" t="s">
        <v>14</v>
      </c>
      <c r="E139" s="56" t="s">
        <v>105</v>
      </c>
      <c r="F139" s="56" t="s">
        <v>159</v>
      </c>
      <c r="G139" s="56" t="s">
        <v>453</v>
      </c>
      <c r="H139" s="56" t="s">
        <v>489</v>
      </c>
      <c r="I139" s="56">
        <f>150*1.73*1.8*0.4</f>
        <v>186.84000000000003</v>
      </c>
      <c r="J139" s="56" t="s">
        <v>177</v>
      </c>
    </row>
    <row r="140" spans="2:10" ht="30" x14ac:dyDescent="0.25">
      <c r="B140" s="69">
        <v>132</v>
      </c>
      <c r="C140" s="56" t="s">
        <v>46</v>
      </c>
      <c r="D140" s="56" t="s">
        <v>14</v>
      </c>
      <c r="E140" s="56" t="s">
        <v>117</v>
      </c>
      <c r="F140" s="56" t="s">
        <v>160</v>
      </c>
      <c r="G140" s="56" t="s">
        <v>454</v>
      </c>
      <c r="H140" s="56" t="s">
        <v>490</v>
      </c>
      <c r="I140" s="56">
        <f>0*1.73*2.37*10</f>
        <v>0</v>
      </c>
      <c r="J140" s="56" t="s">
        <v>228</v>
      </c>
    </row>
    <row r="141" spans="2:10" ht="30" x14ac:dyDescent="0.25">
      <c r="B141" s="69">
        <v>133</v>
      </c>
      <c r="C141" s="56" t="s">
        <v>46</v>
      </c>
      <c r="D141" s="56" t="s">
        <v>14</v>
      </c>
      <c r="E141" s="56" t="s">
        <v>105</v>
      </c>
      <c r="F141" s="56" t="s">
        <v>491</v>
      </c>
      <c r="G141" s="56" t="s">
        <v>492</v>
      </c>
      <c r="H141" s="56" t="s">
        <v>493</v>
      </c>
      <c r="I141" s="56">
        <v>1255.98</v>
      </c>
      <c r="J141" s="56"/>
    </row>
    <row r="142" spans="2:10" ht="30" x14ac:dyDescent="0.25">
      <c r="B142" s="69">
        <v>134</v>
      </c>
      <c r="C142" s="56" t="s">
        <v>46</v>
      </c>
      <c r="D142" s="56" t="s">
        <v>14</v>
      </c>
      <c r="E142" s="56" t="s">
        <v>105</v>
      </c>
      <c r="F142" s="56" t="s">
        <v>494</v>
      </c>
      <c r="G142" s="56" t="s">
        <v>495</v>
      </c>
      <c r="H142" s="56" t="s">
        <v>496</v>
      </c>
      <c r="I142" s="56">
        <v>26.295999999999999</v>
      </c>
      <c r="J142" s="56"/>
    </row>
    <row r="143" spans="2:10" ht="30" x14ac:dyDescent="0.25">
      <c r="B143" s="69">
        <v>135</v>
      </c>
      <c r="C143" s="56" t="s">
        <v>46</v>
      </c>
      <c r="D143" s="56" t="s">
        <v>14</v>
      </c>
      <c r="E143" s="56" t="s">
        <v>105</v>
      </c>
      <c r="F143" s="56" t="s">
        <v>497</v>
      </c>
      <c r="G143" s="56" t="s">
        <v>498</v>
      </c>
      <c r="H143" s="56" t="s">
        <v>499</v>
      </c>
      <c r="I143" s="56">
        <v>1636.58</v>
      </c>
      <c r="J143" s="56"/>
    </row>
    <row r="144" spans="2:10" ht="30" x14ac:dyDescent="0.25">
      <c r="B144" s="69">
        <v>136</v>
      </c>
      <c r="C144" s="56" t="s">
        <v>46</v>
      </c>
      <c r="D144" s="56" t="s">
        <v>14</v>
      </c>
      <c r="E144" s="56" t="s">
        <v>122</v>
      </c>
      <c r="F144" s="56" t="s">
        <v>500</v>
      </c>
      <c r="G144" s="56" t="s">
        <v>501</v>
      </c>
      <c r="H144" s="56" t="s">
        <v>502</v>
      </c>
      <c r="I144" s="56">
        <v>131.47999999999999</v>
      </c>
      <c r="J144" s="56"/>
    </row>
    <row r="145" spans="2:10" ht="30" x14ac:dyDescent="0.25">
      <c r="B145" s="69">
        <v>137</v>
      </c>
      <c r="C145" s="56" t="s">
        <v>46</v>
      </c>
      <c r="D145" s="56" t="s">
        <v>14</v>
      </c>
      <c r="E145" s="56" t="s">
        <v>105</v>
      </c>
      <c r="F145" s="56" t="s">
        <v>503</v>
      </c>
      <c r="G145" s="56" t="s">
        <v>504</v>
      </c>
      <c r="H145" s="56" t="s">
        <v>505</v>
      </c>
      <c r="I145" s="56">
        <v>13.134</v>
      </c>
      <c r="J145" s="56"/>
    </row>
    <row r="146" spans="2:10" ht="30" x14ac:dyDescent="0.25">
      <c r="B146" s="69">
        <v>138</v>
      </c>
      <c r="C146" s="56" t="s">
        <v>46</v>
      </c>
      <c r="D146" s="56" t="s">
        <v>14</v>
      </c>
      <c r="E146" s="56" t="s">
        <v>122</v>
      </c>
      <c r="F146" s="56" t="s">
        <v>506</v>
      </c>
      <c r="G146" s="56" t="s">
        <v>507</v>
      </c>
      <c r="H146" s="56" t="s">
        <v>508</v>
      </c>
      <c r="I146" s="56">
        <v>156.13200000000001</v>
      </c>
      <c r="J146" s="56"/>
    </row>
    <row r="147" spans="2:10" ht="30" x14ac:dyDescent="0.25">
      <c r="B147" s="69">
        <v>139</v>
      </c>
      <c r="C147" s="56" t="s">
        <v>46</v>
      </c>
      <c r="D147" s="56" t="s">
        <v>14</v>
      </c>
      <c r="E147" s="56" t="s">
        <v>105</v>
      </c>
      <c r="F147" s="56" t="s">
        <v>509</v>
      </c>
      <c r="G147" s="56" t="s">
        <v>510</v>
      </c>
      <c r="H147" s="56" t="s">
        <v>511</v>
      </c>
      <c r="I147" s="56">
        <v>15051</v>
      </c>
      <c r="J147" s="56"/>
    </row>
    <row r="148" spans="2:10" ht="30" x14ac:dyDescent="0.25">
      <c r="B148" s="69">
        <v>140</v>
      </c>
      <c r="C148" s="56" t="s">
        <v>46</v>
      </c>
      <c r="D148" s="56" t="s">
        <v>14</v>
      </c>
      <c r="E148" s="56" t="s">
        <v>122</v>
      </c>
      <c r="F148" s="56" t="s">
        <v>512</v>
      </c>
      <c r="G148" s="56" t="s">
        <v>513</v>
      </c>
      <c r="H148" s="56" t="s">
        <v>514</v>
      </c>
      <c r="I148" s="56">
        <v>103.8</v>
      </c>
      <c r="J148" s="56"/>
    </row>
    <row r="149" spans="2:10" ht="30" x14ac:dyDescent="0.25">
      <c r="B149" s="69">
        <v>141</v>
      </c>
      <c r="C149" s="56" t="s">
        <v>46</v>
      </c>
      <c r="D149" s="56" t="s">
        <v>14</v>
      </c>
      <c r="E149" s="56" t="s">
        <v>122</v>
      </c>
      <c r="F149" s="56" t="s">
        <v>515</v>
      </c>
      <c r="G149" s="56" t="s">
        <v>516</v>
      </c>
      <c r="H149" s="56" t="s">
        <v>517</v>
      </c>
      <c r="I149" s="56">
        <v>6920</v>
      </c>
      <c r="J149" s="56"/>
    </row>
    <row r="150" spans="2:10" ht="30" x14ac:dyDescent="0.25">
      <c r="B150" s="69">
        <v>142</v>
      </c>
      <c r="C150" s="56" t="s">
        <v>46</v>
      </c>
      <c r="D150" s="56" t="s">
        <v>14</v>
      </c>
      <c r="E150" s="56" t="s">
        <v>518</v>
      </c>
      <c r="F150" s="56" t="s">
        <v>519</v>
      </c>
      <c r="G150" s="56" t="s">
        <v>520</v>
      </c>
      <c r="H150" s="56" t="s">
        <v>521</v>
      </c>
      <c r="I150" s="56">
        <v>10172.4</v>
      </c>
      <c r="J150" s="56"/>
    </row>
    <row r="151" spans="2:10" ht="30" x14ac:dyDescent="0.25">
      <c r="B151" s="69">
        <v>143</v>
      </c>
      <c r="C151" s="56" t="s">
        <v>46</v>
      </c>
      <c r="D151" s="56" t="s">
        <v>14</v>
      </c>
      <c r="E151" s="56" t="s">
        <v>105</v>
      </c>
      <c r="F151" s="56" t="s">
        <v>509</v>
      </c>
      <c r="G151" s="56" t="s">
        <v>522</v>
      </c>
      <c r="H151" s="56" t="s">
        <v>523</v>
      </c>
      <c r="I151" s="56">
        <v>3633</v>
      </c>
      <c r="J151" s="56"/>
    </row>
    <row r="152" spans="2:10" ht="30" x14ac:dyDescent="0.25">
      <c r="B152" s="69">
        <v>144</v>
      </c>
      <c r="C152" s="56" t="s">
        <v>46</v>
      </c>
      <c r="D152" s="56" t="s">
        <v>14</v>
      </c>
      <c r="E152" s="56" t="s">
        <v>105</v>
      </c>
      <c r="F152" s="56" t="s">
        <v>524</v>
      </c>
      <c r="G152" s="56" t="s">
        <v>525</v>
      </c>
      <c r="H152" s="56" t="s">
        <v>526</v>
      </c>
      <c r="I152" s="56">
        <v>498.24</v>
      </c>
      <c r="J152" s="56"/>
    </row>
    <row r="153" spans="2:10" ht="30" x14ac:dyDescent="0.25">
      <c r="B153" s="69">
        <v>145</v>
      </c>
      <c r="C153" s="56" t="s">
        <v>46</v>
      </c>
      <c r="D153" s="56" t="s">
        <v>14</v>
      </c>
      <c r="E153" s="56" t="s">
        <v>105</v>
      </c>
      <c r="F153" s="56" t="s">
        <v>509</v>
      </c>
      <c r="G153" s="56" t="s">
        <v>527</v>
      </c>
      <c r="H153" s="56" t="s">
        <v>528</v>
      </c>
      <c r="I153" s="56">
        <v>9861</v>
      </c>
      <c r="J153" s="56"/>
    </row>
    <row r="154" spans="2:10" ht="30" x14ac:dyDescent="0.25">
      <c r="B154" s="69">
        <v>146</v>
      </c>
      <c r="C154" s="56" t="s">
        <v>46</v>
      </c>
      <c r="D154" s="56" t="s">
        <v>14</v>
      </c>
      <c r="E154" s="56" t="s">
        <v>529</v>
      </c>
      <c r="F154" s="56" t="s">
        <v>530</v>
      </c>
      <c r="G154" s="56" t="s">
        <v>531</v>
      </c>
      <c r="H154" s="56" t="s">
        <v>532</v>
      </c>
      <c r="I154" s="56">
        <v>366.04</v>
      </c>
      <c r="J154" s="56"/>
    </row>
    <row r="155" spans="2:10" ht="30" x14ac:dyDescent="0.25">
      <c r="B155" s="69">
        <v>147</v>
      </c>
      <c r="C155" s="56" t="s">
        <v>46</v>
      </c>
      <c r="D155" s="56" t="s">
        <v>14</v>
      </c>
      <c r="E155" s="56" t="s">
        <v>105</v>
      </c>
      <c r="F155" s="56" t="s">
        <v>533</v>
      </c>
      <c r="G155" s="56" t="s">
        <v>534</v>
      </c>
      <c r="H155" s="56" t="s">
        <v>535</v>
      </c>
      <c r="I155" s="56">
        <v>944.58</v>
      </c>
      <c r="J155" s="56"/>
    </row>
    <row r="156" spans="2:10" ht="30" x14ac:dyDescent="0.25">
      <c r="B156" s="69">
        <v>148</v>
      </c>
      <c r="C156" s="56" t="s">
        <v>46</v>
      </c>
      <c r="D156" s="56" t="s">
        <v>14</v>
      </c>
      <c r="E156" s="56" t="s">
        <v>536</v>
      </c>
      <c r="F156" s="56" t="s">
        <v>537</v>
      </c>
      <c r="G156" s="56" t="s">
        <v>538</v>
      </c>
      <c r="H156" s="56" t="s">
        <v>539</v>
      </c>
      <c r="I156" s="56">
        <v>8983.89</v>
      </c>
      <c r="J156" s="56"/>
    </row>
    <row r="157" spans="2:10" ht="30" x14ac:dyDescent="0.25">
      <c r="B157" s="69">
        <v>149</v>
      </c>
      <c r="C157" s="56" t="s">
        <v>46</v>
      </c>
      <c r="D157" s="56" t="s">
        <v>14</v>
      </c>
      <c r="E157" s="56" t="s">
        <v>529</v>
      </c>
      <c r="F157" s="56" t="s">
        <v>530</v>
      </c>
      <c r="G157" s="56" t="s">
        <v>540</v>
      </c>
      <c r="H157" s="56" t="s">
        <v>541</v>
      </c>
      <c r="I157" s="56">
        <v>70.998999999999995</v>
      </c>
      <c r="J157" s="56"/>
    </row>
    <row r="158" spans="2:10" ht="30" x14ac:dyDescent="0.25">
      <c r="B158" s="69">
        <v>150</v>
      </c>
      <c r="C158" s="56" t="s">
        <v>46</v>
      </c>
      <c r="D158" s="56" t="s">
        <v>14</v>
      </c>
      <c r="E158" s="56" t="s">
        <v>105</v>
      </c>
      <c r="F158" s="56" t="s">
        <v>542</v>
      </c>
      <c r="G158" s="56" t="s">
        <v>543</v>
      </c>
      <c r="H158" s="56" t="s">
        <v>544</v>
      </c>
      <c r="I158" s="56">
        <v>14428.2</v>
      </c>
      <c r="J158" s="56"/>
    </row>
    <row r="159" spans="2:10" ht="30" x14ac:dyDescent="0.25">
      <c r="B159" s="69">
        <v>151</v>
      </c>
      <c r="C159" s="56" t="s">
        <v>46</v>
      </c>
      <c r="D159" s="56" t="s">
        <v>14</v>
      </c>
      <c r="E159" s="56" t="s">
        <v>105</v>
      </c>
      <c r="F159" s="56" t="s">
        <v>545</v>
      </c>
      <c r="G159" s="56" t="s">
        <v>546</v>
      </c>
      <c r="H159" s="56" t="s">
        <v>547</v>
      </c>
      <c r="I159" s="56">
        <v>170.398</v>
      </c>
      <c r="J159" s="56"/>
    </row>
    <row r="160" spans="2:10" ht="30" x14ac:dyDescent="0.25">
      <c r="B160" s="69">
        <v>152</v>
      </c>
      <c r="C160" s="56" t="s">
        <v>46</v>
      </c>
      <c r="D160" s="56" t="s">
        <v>14</v>
      </c>
      <c r="E160" s="56" t="s">
        <v>105</v>
      </c>
      <c r="F160" s="56" t="s">
        <v>548</v>
      </c>
      <c r="G160" s="56" t="s">
        <v>549</v>
      </c>
      <c r="H160" s="56" t="s">
        <v>550</v>
      </c>
      <c r="I160" s="56">
        <v>57.981999999999999</v>
      </c>
      <c r="J160" s="56"/>
    </row>
    <row r="161" spans="2:10" ht="30" x14ac:dyDescent="0.25">
      <c r="B161" s="69">
        <v>153</v>
      </c>
      <c r="C161" s="56" t="s">
        <v>46</v>
      </c>
      <c r="D161" s="56" t="s">
        <v>14</v>
      </c>
      <c r="E161" s="56" t="s">
        <v>105</v>
      </c>
      <c r="F161" s="56" t="s">
        <v>551</v>
      </c>
      <c r="G161" s="56" t="s">
        <v>552</v>
      </c>
      <c r="H161" s="56" t="s">
        <v>553</v>
      </c>
      <c r="I161" s="56">
        <v>4394.2</v>
      </c>
      <c r="J161" s="56"/>
    </row>
    <row r="162" spans="2:10" ht="30" x14ac:dyDescent="0.25">
      <c r="B162" s="69">
        <v>154</v>
      </c>
      <c r="C162" s="56" t="s">
        <v>46</v>
      </c>
      <c r="D162" s="56" t="s">
        <v>14</v>
      </c>
      <c r="E162" s="56" t="s">
        <v>105</v>
      </c>
      <c r="F162" s="56" t="s">
        <v>554</v>
      </c>
      <c r="G162" s="56" t="s">
        <v>555</v>
      </c>
      <c r="H162" s="56" t="s">
        <v>556</v>
      </c>
      <c r="I162" s="56">
        <v>59.165999999999997</v>
      </c>
      <c r="J162" s="56"/>
    </row>
    <row r="163" spans="2:10" ht="30" x14ac:dyDescent="0.25">
      <c r="B163" s="69">
        <v>155</v>
      </c>
      <c r="C163" s="56" t="s">
        <v>46</v>
      </c>
      <c r="D163" s="56" t="s">
        <v>14</v>
      </c>
      <c r="E163" s="56" t="s">
        <v>115</v>
      </c>
      <c r="F163" s="56" t="s">
        <v>557</v>
      </c>
      <c r="G163" s="56" t="s">
        <v>558</v>
      </c>
      <c r="H163" s="56" t="s">
        <v>559</v>
      </c>
      <c r="I163" s="56">
        <v>2729.94</v>
      </c>
      <c r="J163" s="56"/>
    </row>
    <row r="164" spans="2:10" ht="30" x14ac:dyDescent="0.25">
      <c r="B164" s="69">
        <v>156</v>
      </c>
      <c r="C164" s="56" t="s">
        <v>46</v>
      </c>
      <c r="D164" s="56" t="s">
        <v>14</v>
      </c>
      <c r="E164" s="56" t="s">
        <v>560</v>
      </c>
      <c r="F164" s="56" t="s">
        <v>561</v>
      </c>
      <c r="G164" s="56" t="s">
        <v>562</v>
      </c>
      <c r="H164" s="56" t="s">
        <v>563</v>
      </c>
      <c r="I164" s="56">
        <v>69.2</v>
      </c>
      <c r="J164" s="56"/>
    </row>
    <row r="165" spans="2:10" ht="30" x14ac:dyDescent="0.25">
      <c r="B165" s="69">
        <v>157</v>
      </c>
      <c r="C165" s="56" t="s">
        <v>46</v>
      </c>
      <c r="D165" s="56" t="s">
        <v>14</v>
      </c>
      <c r="E165" s="56" t="s">
        <v>105</v>
      </c>
      <c r="F165" s="56" t="s">
        <v>564</v>
      </c>
      <c r="G165" s="56" t="s">
        <v>565</v>
      </c>
      <c r="H165" s="56" t="s">
        <v>566</v>
      </c>
      <c r="I165" s="56">
        <v>3806</v>
      </c>
      <c r="J165" s="56"/>
    </row>
    <row r="166" spans="2:10" ht="30" x14ac:dyDescent="0.25">
      <c r="B166" s="69">
        <v>158</v>
      </c>
      <c r="C166" s="56" t="s">
        <v>46</v>
      </c>
      <c r="D166" s="56" t="s">
        <v>14</v>
      </c>
      <c r="E166" s="56" t="s">
        <v>104</v>
      </c>
      <c r="F166" s="56" t="s">
        <v>567</v>
      </c>
      <c r="G166" s="56" t="s">
        <v>568</v>
      </c>
      <c r="H166" s="56" t="s">
        <v>569</v>
      </c>
      <c r="I166" s="56">
        <v>4100.1000000000004</v>
      </c>
      <c r="J166" s="56"/>
    </row>
    <row r="167" spans="2:10" ht="30" x14ac:dyDescent="0.25">
      <c r="B167" s="69">
        <v>159</v>
      </c>
      <c r="C167" s="56" t="s">
        <v>46</v>
      </c>
      <c r="D167" s="56" t="s">
        <v>14</v>
      </c>
      <c r="E167" s="56" t="s">
        <v>105</v>
      </c>
      <c r="F167" s="56" t="s">
        <v>28</v>
      </c>
      <c r="G167" s="56" t="s">
        <v>570</v>
      </c>
      <c r="H167" s="56" t="s">
        <v>571</v>
      </c>
      <c r="I167" s="56">
        <v>519</v>
      </c>
      <c r="J167" s="56"/>
    </row>
    <row r="168" spans="2:10" ht="30" x14ac:dyDescent="0.25">
      <c r="B168" s="69">
        <v>160</v>
      </c>
      <c r="C168" s="56" t="s">
        <v>46</v>
      </c>
      <c r="D168" s="56" t="s">
        <v>14</v>
      </c>
      <c r="E168" s="56" t="s">
        <v>560</v>
      </c>
      <c r="F168" s="56" t="s">
        <v>572</v>
      </c>
      <c r="G168" s="56" t="s">
        <v>573</v>
      </c>
      <c r="H168" s="56" t="s">
        <v>574</v>
      </c>
      <c r="I168" s="56">
        <v>1384</v>
      </c>
      <c r="J168" s="56"/>
    </row>
    <row r="169" spans="2:10" ht="30" x14ac:dyDescent="0.25">
      <c r="B169" s="69">
        <v>161</v>
      </c>
      <c r="C169" s="56" t="s">
        <v>46</v>
      </c>
      <c r="D169" s="56" t="s">
        <v>14</v>
      </c>
      <c r="E169" s="56" t="s">
        <v>105</v>
      </c>
      <c r="F169" s="56" t="s">
        <v>575</v>
      </c>
      <c r="G169" s="56" t="s">
        <v>576</v>
      </c>
      <c r="H169" s="56" t="s">
        <v>577</v>
      </c>
      <c r="I169" s="56">
        <v>111.074</v>
      </c>
      <c r="J169" s="56"/>
    </row>
    <row r="170" spans="2:10" ht="30" x14ac:dyDescent="0.25">
      <c r="B170" s="69">
        <v>162</v>
      </c>
      <c r="C170" s="56" t="s">
        <v>46</v>
      </c>
      <c r="D170" s="56" t="s">
        <v>14</v>
      </c>
      <c r="E170" s="56" t="s">
        <v>105</v>
      </c>
      <c r="F170" s="56" t="s">
        <v>578</v>
      </c>
      <c r="G170" s="56" t="s">
        <v>579</v>
      </c>
      <c r="H170" s="56" t="s">
        <v>580</v>
      </c>
      <c r="I170" s="56">
        <v>164.48099999999999</v>
      </c>
      <c r="J170" s="56"/>
    </row>
    <row r="171" spans="2:10" ht="30" x14ac:dyDescent="0.25">
      <c r="B171" s="69">
        <v>163</v>
      </c>
      <c r="C171" s="56" t="s">
        <v>46</v>
      </c>
      <c r="D171" s="56" t="s">
        <v>14</v>
      </c>
      <c r="E171" s="56" t="s">
        <v>105</v>
      </c>
      <c r="F171" s="56" t="s">
        <v>581</v>
      </c>
      <c r="G171" s="56" t="s">
        <v>582</v>
      </c>
      <c r="H171" s="56" t="s">
        <v>580</v>
      </c>
      <c r="I171" s="56">
        <v>128.98099999999999</v>
      </c>
      <c r="J171" s="56"/>
    </row>
    <row r="172" spans="2:10" ht="30" x14ac:dyDescent="0.25">
      <c r="B172" s="69">
        <v>164</v>
      </c>
      <c r="C172" s="56" t="s">
        <v>46</v>
      </c>
      <c r="D172" s="56" t="s">
        <v>14</v>
      </c>
      <c r="E172" s="56" t="s">
        <v>560</v>
      </c>
      <c r="F172" s="56" t="s">
        <v>572</v>
      </c>
      <c r="G172" s="56" t="s">
        <v>583</v>
      </c>
      <c r="H172" s="56" t="s">
        <v>584</v>
      </c>
      <c r="I172" s="56">
        <v>1141.8</v>
      </c>
      <c r="J172" s="56"/>
    </row>
    <row r="173" spans="2:10" ht="30" x14ac:dyDescent="0.25">
      <c r="B173" s="69">
        <v>165</v>
      </c>
      <c r="C173" s="56" t="s">
        <v>46</v>
      </c>
      <c r="D173" s="56" t="s">
        <v>14</v>
      </c>
      <c r="E173" s="56" t="s">
        <v>585</v>
      </c>
      <c r="F173" s="56" t="s">
        <v>586</v>
      </c>
      <c r="G173" s="56" t="s">
        <v>587</v>
      </c>
      <c r="H173" s="56" t="s">
        <v>588</v>
      </c>
      <c r="I173" s="56">
        <v>5304.18</v>
      </c>
      <c r="J173" s="56"/>
    </row>
    <row r="174" spans="2:10" ht="30" x14ac:dyDescent="0.25">
      <c r="B174" s="69">
        <v>166</v>
      </c>
      <c r="C174" s="56" t="s">
        <v>46</v>
      </c>
      <c r="D174" s="56" t="s">
        <v>14</v>
      </c>
      <c r="E174" s="56" t="s">
        <v>105</v>
      </c>
      <c r="F174" s="56" t="s">
        <v>65</v>
      </c>
      <c r="G174" s="56" t="s">
        <v>589</v>
      </c>
      <c r="H174" s="56" t="s">
        <v>590</v>
      </c>
      <c r="I174" s="56">
        <v>4899.3599999999997</v>
      </c>
      <c r="J174" s="56"/>
    </row>
    <row r="175" spans="2:10" ht="30" x14ac:dyDescent="0.25">
      <c r="B175" s="69">
        <v>167</v>
      </c>
      <c r="C175" s="56" t="s">
        <v>46</v>
      </c>
      <c r="D175" s="56" t="s">
        <v>14</v>
      </c>
      <c r="E175" s="56" t="s">
        <v>105</v>
      </c>
      <c r="F175" s="56" t="s">
        <v>591</v>
      </c>
      <c r="G175" s="56" t="s">
        <v>592</v>
      </c>
      <c r="H175" s="56" t="s">
        <v>593</v>
      </c>
      <c r="I175" s="56">
        <v>29.582999999999998</v>
      </c>
      <c r="J175" s="56"/>
    </row>
    <row r="176" spans="2:10" ht="30" x14ac:dyDescent="0.25">
      <c r="B176" s="69">
        <v>168</v>
      </c>
      <c r="C176" s="56" t="s">
        <v>46</v>
      </c>
      <c r="D176" s="56" t="s">
        <v>14</v>
      </c>
      <c r="E176" s="56" t="s">
        <v>105</v>
      </c>
      <c r="F176" s="56" t="s">
        <v>594</v>
      </c>
      <c r="G176" s="56" t="s">
        <v>595</v>
      </c>
      <c r="H176" s="56" t="s">
        <v>596</v>
      </c>
      <c r="I176" s="56">
        <v>21.023</v>
      </c>
      <c r="J176" s="56"/>
    </row>
    <row r="177" spans="2:10" ht="30" x14ac:dyDescent="0.25">
      <c r="B177" s="69">
        <v>169</v>
      </c>
      <c r="C177" s="56" t="s">
        <v>46</v>
      </c>
      <c r="D177" s="56" t="s">
        <v>14</v>
      </c>
      <c r="E177" s="56" t="s">
        <v>105</v>
      </c>
      <c r="F177" s="56" t="s">
        <v>597</v>
      </c>
      <c r="G177" s="56" t="s">
        <v>598</v>
      </c>
      <c r="H177" s="56" t="s">
        <v>599</v>
      </c>
      <c r="I177" s="56">
        <v>11175.8</v>
      </c>
      <c r="J177" s="56"/>
    </row>
    <row r="178" spans="2:10" ht="30" x14ac:dyDescent="0.25">
      <c r="B178" s="69">
        <v>170</v>
      </c>
      <c r="C178" s="56" t="s">
        <v>46</v>
      </c>
      <c r="D178" s="56" t="s">
        <v>14</v>
      </c>
      <c r="E178" s="56" t="s">
        <v>105</v>
      </c>
      <c r="F178" s="56" t="s">
        <v>578</v>
      </c>
      <c r="G178" s="56" t="s">
        <v>600</v>
      </c>
      <c r="H178" s="56" t="s">
        <v>601</v>
      </c>
      <c r="I178" s="56">
        <v>28.911999999999999</v>
      </c>
      <c r="J178" s="56"/>
    </row>
    <row r="179" spans="2:10" ht="30" x14ac:dyDescent="0.25">
      <c r="B179" s="69">
        <v>171</v>
      </c>
      <c r="C179" s="56" t="s">
        <v>46</v>
      </c>
      <c r="D179" s="56" t="s">
        <v>14</v>
      </c>
      <c r="E179" s="56" t="s">
        <v>105</v>
      </c>
      <c r="F179" s="56" t="s">
        <v>602</v>
      </c>
      <c r="G179" s="56" t="s">
        <v>603</v>
      </c>
      <c r="H179" s="56" t="s">
        <v>604</v>
      </c>
      <c r="I179" s="56">
        <v>51.277000000000001</v>
      </c>
      <c r="J179" s="56"/>
    </row>
    <row r="180" spans="2:10" ht="30" x14ac:dyDescent="0.25">
      <c r="B180" s="69">
        <v>172</v>
      </c>
      <c r="C180" s="56" t="s">
        <v>46</v>
      </c>
      <c r="D180" s="56" t="s">
        <v>14</v>
      </c>
      <c r="E180" s="56" t="s">
        <v>105</v>
      </c>
      <c r="F180" s="56" t="s">
        <v>605</v>
      </c>
      <c r="G180" s="56" t="s">
        <v>606</v>
      </c>
      <c r="H180" s="56" t="s">
        <v>607</v>
      </c>
      <c r="I180" s="56">
        <v>34.829000000000001</v>
      </c>
      <c r="J180" s="56"/>
    </row>
    <row r="181" spans="2:10" ht="30" x14ac:dyDescent="0.25">
      <c r="B181" s="69">
        <v>173</v>
      </c>
      <c r="C181" s="56" t="s">
        <v>46</v>
      </c>
      <c r="D181" s="56" t="s">
        <v>14</v>
      </c>
      <c r="E181" s="56" t="s">
        <v>105</v>
      </c>
      <c r="F181" s="56" t="s">
        <v>608</v>
      </c>
      <c r="G181" s="56" t="s">
        <v>609</v>
      </c>
      <c r="H181" s="56" t="s">
        <v>610</v>
      </c>
      <c r="I181" s="56">
        <v>2249</v>
      </c>
      <c r="J181" s="56"/>
    </row>
    <row r="182" spans="2:10" ht="30" x14ac:dyDescent="0.25">
      <c r="B182" s="69">
        <v>174</v>
      </c>
      <c r="C182" s="56" t="s">
        <v>46</v>
      </c>
      <c r="D182" s="56" t="s">
        <v>14</v>
      </c>
      <c r="E182" s="56" t="s">
        <v>105</v>
      </c>
      <c r="F182" s="56" t="s">
        <v>65</v>
      </c>
      <c r="G182" s="56" t="s">
        <v>611</v>
      </c>
      <c r="H182" s="56" t="s">
        <v>612</v>
      </c>
      <c r="I182" s="56">
        <v>33389</v>
      </c>
      <c r="J182" s="56"/>
    </row>
    <row r="183" spans="2:10" ht="30" x14ac:dyDescent="0.25">
      <c r="B183" s="69">
        <v>175</v>
      </c>
      <c r="C183" s="56" t="s">
        <v>46</v>
      </c>
      <c r="D183" s="56" t="s">
        <v>14</v>
      </c>
      <c r="E183" s="56" t="s">
        <v>105</v>
      </c>
      <c r="F183" s="56" t="s">
        <v>28</v>
      </c>
      <c r="G183" s="56" t="s">
        <v>613</v>
      </c>
      <c r="H183" s="56" t="s">
        <v>614</v>
      </c>
      <c r="I183" s="56">
        <v>41762.199999999997</v>
      </c>
      <c r="J183" s="56"/>
    </row>
    <row r="184" spans="2:10" ht="30" x14ac:dyDescent="0.25">
      <c r="B184" s="69">
        <v>176</v>
      </c>
      <c r="C184" s="56" t="s">
        <v>46</v>
      </c>
      <c r="D184" s="56" t="s">
        <v>14</v>
      </c>
      <c r="E184" s="56" t="s">
        <v>166</v>
      </c>
      <c r="F184" s="56" t="s">
        <v>615</v>
      </c>
      <c r="G184" s="56" t="s">
        <v>616</v>
      </c>
      <c r="H184" s="56" t="s">
        <v>617</v>
      </c>
      <c r="I184" s="56">
        <v>80.86</v>
      </c>
      <c r="J184" s="56"/>
    </row>
    <row r="185" spans="2:10" ht="30" x14ac:dyDescent="0.25">
      <c r="B185" s="69">
        <v>177</v>
      </c>
      <c r="C185" s="56" t="s">
        <v>46</v>
      </c>
      <c r="D185" s="56" t="s">
        <v>14</v>
      </c>
      <c r="E185" s="56" t="s">
        <v>110</v>
      </c>
      <c r="F185" s="56" t="s">
        <v>618</v>
      </c>
      <c r="G185" s="56" t="s">
        <v>619</v>
      </c>
      <c r="H185" s="56" t="s">
        <v>620</v>
      </c>
      <c r="I185" s="56">
        <v>3044.8</v>
      </c>
      <c r="J185" s="56"/>
    </row>
    <row r="186" spans="2:10" ht="30" x14ac:dyDescent="0.25">
      <c r="B186" s="69">
        <v>178</v>
      </c>
      <c r="C186" s="56" t="s">
        <v>46</v>
      </c>
      <c r="D186" s="56" t="s">
        <v>14</v>
      </c>
      <c r="E186" s="56" t="s">
        <v>105</v>
      </c>
      <c r="F186" s="56" t="s">
        <v>621</v>
      </c>
      <c r="G186" s="56" t="s">
        <v>622</v>
      </c>
      <c r="H186" s="56" t="s">
        <v>623</v>
      </c>
      <c r="I186" s="56">
        <v>77.703999999999994</v>
      </c>
      <c r="J186" s="56"/>
    </row>
    <row r="187" spans="2:10" ht="30" x14ac:dyDescent="0.25">
      <c r="B187" s="69">
        <v>179</v>
      </c>
      <c r="C187" s="56" t="s">
        <v>46</v>
      </c>
      <c r="D187" s="56" t="s">
        <v>14</v>
      </c>
      <c r="E187" s="56" t="s">
        <v>585</v>
      </c>
      <c r="F187" s="56" t="s">
        <v>624</v>
      </c>
      <c r="G187" s="56" t="s">
        <v>625</v>
      </c>
      <c r="H187" s="56" t="s">
        <v>626</v>
      </c>
      <c r="I187" s="56">
        <v>9169</v>
      </c>
      <c r="J187" s="56"/>
    </row>
    <row r="188" spans="2:10" ht="30" x14ac:dyDescent="0.25">
      <c r="B188" s="69">
        <v>180</v>
      </c>
      <c r="C188" s="56" t="s">
        <v>46</v>
      </c>
      <c r="D188" s="56" t="s">
        <v>14</v>
      </c>
      <c r="E188" s="56" t="s">
        <v>122</v>
      </c>
      <c r="F188" s="56" t="s">
        <v>627</v>
      </c>
      <c r="G188" s="56" t="s">
        <v>628</v>
      </c>
      <c r="H188" s="56" t="s">
        <v>629</v>
      </c>
      <c r="I188" s="56">
        <v>216.94200000000001</v>
      </c>
      <c r="J188" s="56"/>
    </row>
    <row r="189" spans="2:10" ht="30" x14ac:dyDescent="0.25">
      <c r="B189" s="69">
        <v>181</v>
      </c>
      <c r="C189" s="56" t="s">
        <v>46</v>
      </c>
      <c r="D189" s="56" t="s">
        <v>14</v>
      </c>
      <c r="E189" s="56" t="s">
        <v>630</v>
      </c>
      <c r="F189" s="56" t="s">
        <v>631</v>
      </c>
      <c r="G189" s="56" t="s">
        <v>632</v>
      </c>
      <c r="H189" s="56" t="s">
        <v>633</v>
      </c>
      <c r="I189" s="56">
        <v>231.733</v>
      </c>
      <c r="J189" s="56"/>
    </row>
    <row r="190" spans="2:10" ht="30" x14ac:dyDescent="0.25">
      <c r="B190" s="69">
        <v>182</v>
      </c>
      <c r="C190" s="56" t="s">
        <v>46</v>
      </c>
      <c r="D190" s="56" t="s">
        <v>14</v>
      </c>
      <c r="E190" s="56" t="s">
        <v>536</v>
      </c>
      <c r="F190" s="56" t="s">
        <v>634</v>
      </c>
      <c r="G190" s="56" t="s">
        <v>635</v>
      </c>
      <c r="H190" s="56" t="s">
        <v>636</v>
      </c>
      <c r="I190" s="56">
        <v>3873.8159999999998</v>
      </c>
      <c r="J190" s="56"/>
    </row>
    <row r="191" spans="2:10" ht="30" x14ac:dyDescent="0.25">
      <c r="B191" s="69">
        <v>183</v>
      </c>
      <c r="C191" s="56" t="s">
        <v>46</v>
      </c>
      <c r="D191" s="56" t="s">
        <v>14</v>
      </c>
      <c r="E191" s="56" t="s">
        <v>637</v>
      </c>
      <c r="F191" s="56" t="s">
        <v>65</v>
      </c>
      <c r="G191" s="56" t="s">
        <v>638</v>
      </c>
      <c r="H191" s="56" t="s">
        <v>639</v>
      </c>
      <c r="I191" s="56">
        <v>13217.2</v>
      </c>
      <c r="J191" s="56"/>
    </row>
    <row r="192" spans="2:10" ht="30" x14ac:dyDescent="0.25">
      <c r="B192" s="69">
        <v>184</v>
      </c>
      <c r="C192" s="56" t="s">
        <v>46</v>
      </c>
      <c r="D192" s="56" t="s">
        <v>14</v>
      </c>
      <c r="E192" s="56" t="s">
        <v>637</v>
      </c>
      <c r="F192" s="56" t="s">
        <v>640</v>
      </c>
      <c r="G192" s="56" t="s">
        <v>641</v>
      </c>
      <c r="H192" s="56" t="s">
        <v>642</v>
      </c>
      <c r="I192" s="56">
        <v>118.33199999999999</v>
      </c>
      <c r="J192" s="56"/>
    </row>
    <row r="193" spans="2:10" ht="30" x14ac:dyDescent="0.25">
      <c r="B193" s="69">
        <v>185</v>
      </c>
      <c r="C193" s="56" t="s">
        <v>46</v>
      </c>
      <c r="D193" s="56" t="s">
        <v>14</v>
      </c>
      <c r="E193" s="56" t="s">
        <v>637</v>
      </c>
      <c r="F193" s="56" t="s">
        <v>643</v>
      </c>
      <c r="G193" s="56" t="s">
        <v>644</v>
      </c>
      <c r="H193" s="56" t="s">
        <v>645</v>
      </c>
      <c r="I193" s="56">
        <v>59.954000000000001</v>
      </c>
      <c r="J193" s="56"/>
    </row>
    <row r="194" spans="2:10" ht="30" x14ac:dyDescent="0.25">
      <c r="B194" s="69">
        <v>186</v>
      </c>
      <c r="C194" s="56" t="s">
        <v>46</v>
      </c>
      <c r="D194" s="56" t="s">
        <v>14</v>
      </c>
      <c r="E194" s="56" t="s">
        <v>166</v>
      </c>
      <c r="F194" s="56" t="s">
        <v>646</v>
      </c>
      <c r="G194" s="56" t="s">
        <v>647</v>
      </c>
      <c r="H194" s="56" t="s">
        <v>648</v>
      </c>
      <c r="I194" s="56">
        <v>394.44</v>
      </c>
      <c r="J194" s="56"/>
    </row>
    <row r="195" spans="2:10" ht="30" x14ac:dyDescent="0.25">
      <c r="B195" s="69">
        <v>187</v>
      </c>
      <c r="C195" s="56" t="s">
        <v>46</v>
      </c>
      <c r="D195" s="56" t="s">
        <v>14</v>
      </c>
      <c r="E195" s="56" t="s">
        <v>637</v>
      </c>
      <c r="F195" s="56" t="s">
        <v>649</v>
      </c>
      <c r="G195" s="56" t="s">
        <v>650</v>
      </c>
      <c r="H195" s="56" t="s">
        <v>651</v>
      </c>
      <c r="I195" s="56">
        <v>5937.36</v>
      </c>
      <c r="J195" s="56"/>
    </row>
    <row r="196" spans="2:10" ht="30" x14ac:dyDescent="0.25">
      <c r="B196" s="69">
        <v>188</v>
      </c>
      <c r="C196" s="56" t="s">
        <v>46</v>
      </c>
      <c r="D196" s="56" t="s">
        <v>14</v>
      </c>
      <c r="E196" s="56" t="s">
        <v>108</v>
      </c>
      <c r="F196" s="56" t="s">
        <v>652</v>
      </c>
      <c r="G196" s="56" t="s">
        <v>653</v>
      </c>
      <c r="H196" s="56" t="s">
        <v>654</v>
      </c>
      <c r="I196" s="56">
        <v>4243.3440000000001</v>
      </c>
      <c r="J196" s="56"/>
    </row>
    <row r="197" spans="2:10" ht="30" x14ac:dyDescent="0.25">
      <c r="B197" s="69">
        <v>189</v>
      </c>
      <c r="C197" s="56" t="s">
        <v>46</v>
      </c>
      <c r="D197" s="56" t="s">
        <v>14</v>
      </c>
      <c r="E197" s="56" t="s">
        <v>108</v>
      </c>
      <c r="F197" s="56" t="s">
        <v>655</v>
      </c>
      <c r="G197" s="56" t="s">
        <v>653</v>
      </c>
      <c r="H197" s="56" t="s">
        <v>656</v>
      </c>
      <c r="I197" s="56">
        <v>7149.7439999999997</v>
      </c>
      <c r="J197" s="56"/>
    </row>
    <row r="198" spans="2:10" ht="30" x14ac:dyDescent="0.25">
      <c r="B198" s="69">
        <v>190</v>
      </c>
      <c r="C198" s="56" t="s">
        <v>46</v>
      </c>
      <c r="D198" s="56" t="s">
        <v>14</v>
      </c>
      <c r="E198" s="56" t="s">
        <v>657</v>
      </c>
      <c r="F198" s="56" t="s">
        <v>658</v>
      </c>
      <c r="G198" s="56" t="s">
        <v>659</v>
      </c>
      <c r="H198" s="56" t="s">
        <v>660</v>
      </c>
      <c r="I198" s="56">
        <v>55.36</v>
      </c>
      <c r="J198" s="56"/>
    </row>
    <row r="199" spans="2:10" ht="30" x14ac:dyDescent="0.25">
      <c r="B199" s="69">
        <v>191</v>
      </c>
      <c r="C199" s="56" t="s">
        <v>46</v>
      </c>
      <c r="D199" s="56" t="s">
        <v>14</v>
      </c>
      <c r="E199" s="56" t="s">
        <v>637</v>
      </c>
      <c r="F199" s="56" t="s">
        <v>649</v>
      </c>
      <c r="G199" s="56" t="s">
        <v>661</v>
      </c>
      <c r="H199" s="56" t="s">
        <v>662</v>
      </c>
      <c r="I199" s="56">
        <v>6629.36</v>
      </c>
      <c r="J199" s="56"/>
    </row>
    <row r="200" spans="2:10" ht="30" x14ac:dyDescent="0.25">
      <c r="B200" s="69">
        <v>192</v>
      </c>
      <c r="C200" s="56" t="s">
        <v>46</v>
      </c>
      <c r="D200" s="56" t="s">
        <v>14</v>
      </c>
      <c r="E200" s="56" t="s">
        <v>637</v>
      </c>
      <c r="F200" s="56" t="s">
        <v>663</v>
      </c>
      <c r="G200" s="56" t="s">
        <v>648</v>
      </c>
      <c r="H200" s="56" t="s">
        <v>664</v>
      </c>
      <c r="I200" s="56">
        <v>692</v>
      </c>
      <c r="J200" s="56"/>
    </row>
    <row r="201" spans="2:10" ht="30" x14ac:dyDescent="0.25">
      <c r="B201" s="69">
        <v>193</v>
      </c>
      <c r="C201" s="56" t="s">
        <v>46</v>
      </c>
      <c r="D201" s="56" t="s">
        <v>14</v>
      </c>
      <c r="E201" s="56" t="s">
        <v>110</v>
      </c>
      <c r="F201" s="56" t="s">
        <v>665</v>
      </c>
      <c r="G201" s="56" t="s">
        <v>666</v>
      </c>
      <c r="H201" s="56" t="s">
        <v>667</v>
      </c>
      <c r="I201" s="56">
        <v>7207.18</v>
      </c>
      <c r="J201" s="56"/>
    </row>
    <row r="202" spans="2:10" ht="30" x14ac:dyDescent="0.25">
      <c r="B202" s="69">
        <v>194</v>
      </c>
      <c r="C202" s="56" t="s">
        <v>46</v>
      </c>
      <c r="D202" s="56" t="s">
        <v>14</v>
      </c>
      <c r="E202" s="56" t="s">
        <v>637</v>
      </c>
      <c r="F202" s="56" t="s">
        <v>640</v>
      </c>
      <c r="G202" s="56" t="s">
        <v>668</v>
      </c>
      <c r="H202" s="56" t="s">
        <v>669</v>
      </c>
      <c r="I202" s="56">
        <v>100.58199999999999</v>
      </c>
      <c r="J202" s="56"/>
    </row>
    <row r="203" spans="2:10" ht="30" x14ac:dyDescent="0.25">
      <c r="B203" s="69">
        <v>195</v>
      </c>
      <c r="C203" s="56" t="s">
        <v>46</v>
      </c>
      <c r="D203" s="56" t="s">
        <v>14</v>
      </c>
      <c r="E203" s="56" t="s">
        <v>165</v>
      </c>
      <c r="F203" s="56" t="s">
        <v>670</v>
      </c>
      <c r="G203" s="56" t="s">
        <v>671</v>
      </c>
      <c r="H203" s="56" t="s">
        <v>672</v>
      </c>
      <c r="I203" s="56">
        <v>98.61</v>
      </c>
      <c r="J203" s="56"/>
    </row>
    <row r="204" spans="2:10" ht="30" x14ac:dyDescent="0.25">
      <c r="B204" s="69">
        <v>196</v>
      </c>
      <c r="C204" s="56" t="s">
        <v>46</v>
      </c>
      <c r="D204" s="56" t="s">
        <v>14</v>
      </c>
      <c r="E204" s="56" t="s">
        <v>165</v>
      </c>
      <c r="F204" s="56" t="s">
        <v>673</v>
      </c>
      <c r="G204" s="56" t="s">
        <v>671</v>
      </c>
      <c r="H204" s="56" t="s">
        <v>674</v>
      </c>
      <c r="I204" s="56">
        <v>10509.75</v>
      </c>
      <c r="J204" s="56"/>
    </row>
    <row r="205" spans="2:10" ht="30" x14ac:dyDescent="0.25">
      <c r="B205" s="69">
        <v>197</v>
      </c>
      <c r="C205" s="56" t="s">
        <v>46</v>
      </c>
      <c r="D205" s="56" t="s">
        <v>14</v>
      </c>
      <c r="E205" s="56" t="s">
        <v>165</v>
      </c>
      <c r="F205" s="56" t="s">
        <v>670</v>
      </c>
      <c r="G205" s="56" t="s">
        <v>675</v>
      </c>
      <c r="H205" s="56" t="s">
        <v>676</v>
      </c>
      <c r="I205" s="56">
        <v>104.526</v>
      </c>
      <c r="J205" s="56"/>
    </row>
    <row r="206" spans="2:10" ht="30" x14ac:dyDescent="0.25">
      <c r="B206" s="69">
        <v>198</v>
      </c>
      <c r="C206" s="56" t="s">
        <v>46</v>
      </c>
      <c r="D206" s="56" t="s">
        <v>14</v>
      </c>
      <c r="E206" s="56" t="s">
        <v>637</v>
      </c>
      <c r="F206" s="56" t="s">
        <v>677</v>
      </c>
      <c r="G206" s="56" t="s">
        <v>678</v>
      </c>
      <c r="H206" s="56" t="s">
        <v>679</v>
      </c>
      <c r="I206" s="56">
        <v>23.666</v>
      </c>
      <c r="J206" s="56"/>
    </row>
    <row r="207" spans="2:10" ht="30" x14ac:dyDescent="0.25">
      <c r="B207" s="69">
        <v>199</v>
      </c>
      <c r="C207" s="56" t="s">
        <v>46</v>
      </c>
      <c r="D207" s="56" t="s">
        <v>14</v>
      </c>
      <c r="E207" s="56" t="s">
        <v>637</v>
      </c>
      <c r="F207" s="56" t="s">
        <v>680</v>
      </c>
      <c r="G207" s="56" t="s">
        <v>681</v>
      </c>
      <c r="H207" s="56" t="s">
        <v>682</v>
      </c>
      <c r="I207" s="56">
        <v>4553.3599999999997</v>
      </c>
      <c r="J207" s="56"/>
    </row>
    <row r="208" spans="2:10" ht="30" x14ac:dyDescent="0.25">
      <c r="B208" s="69">
        <v>200</v>
      </c>
      <c r="C208" s="56" t="s">
        <v>46</v>
      </c>
      <c r="D208" s="56" t="s">
        <v>14</v>
      </c>
      <c r="E208" s="56" t="s">
        <v>110</v>
      </c>
      <c r="F208" s="56" t="s">
        <v>683</v>
      </c>
      <c r="G208" s="56" t="s">
        <v>684</v>
      </c>
      <c r="H208" s="56" t="s">
        <v>685</v>
      </c>
      <c r="I208" s="56">
        <v>6747</v>
      </c>
      <c r="J208" s="56"/>
    </row>
    <row r="209" spans="2:10" ht="30" x14ac:dyDescent="0.25">
      <c r="B209" s="69">
        <v>201</v>
      </c>
      <c r="C209" s="56" t="s">
        <v>46</v>
      </c>
      <c r="D209" s="56" t="s">
        <v>14</v>
      </c>
      <c r="E209" s="56" t="s">
        <v>637</v>
      </c>
      <c r="F209" s="56" t="s">
        <v>686</v>
      </c>
      <c r="G209" s="56" t="s">
        <v>681</v>
      </c>
      <c r="H209" s="56" t="s">
        <v>687</v>
      </c>
      <c r="I209" s="56">
        <v>6747</v>
      </c>
      <c r="J209" s="56"/>
    </row>
    <row r="210" spans="2:10" ht="30" x14ac:dyDescent="0.25">
      <c r="B210" s="69">
        <v>202</v>
      </c>
      <c r="C210" s="56" t="s">
        <v>46</v>
      </c>
      <c r="D210" s="56" t="s">
        <v>14</v>
      </c>
      <c r="E210" s="56" t="s">
        <v>637</v>
      </c>
      <c r="F210" s="56" t="s">
        <v>688</v>
      </c>
      <c r="G210" s="56" t="s">
        <v>689</v>
      </c>
      <c r="H210" s="56" t="s">
        <v>690</v>
      </c>
      <c r="I210" s="56">
        <v>55.220999999999997</v>
      </c>
      <c r="J210" s="56"/>
    </row>
    <row r="211" spans="2:10" ht="30" x14ac:dyDescent="0.25">
      <c r="B211" s="69">
        <v>203</v>
      </c>
      <c r="C211" s="56" t="s">
        <v>46</v>
      </c>
      <c r="D211" s="56" t="s">
        <v>14</v>
      </c>
      <c r="E211" s="56" t="s">
        <v>637</v>
      </c>
      <c r="F211" s="56" t="s">
        <v>691</v>
      </c>
      <c r="G211" s="56" t="s">
        <v>692</v>
      </c>
      <c r="H211" s="56" t="s">
        <v>693</v>
      </c>
      <c r="I211" s="56">
        <v>138.054</v>
      </c>
      <c r="J211" s="56"/>
    </row>
    <row r="212" spans="2:10" ht="30" x14ac:dyDescent="0.25">
      <c r="B212" s="69">
        <v>204</v>
      </c>
      <c r="C212" s="56" t="s">
        <v>46</v>
      </c>
      <c r="D212" s="56" t="s">
        <v>14</v>
      </c>
      <c r="E212" s="56" t="s">
        <v>637</v>
      </c>
      <c r="F212" s="56" t="s">
        <v>694</v>
      </c>
      <c r="G212" s="56" t="s">
        <v>695</v>
      </c>
      <c r="H212" s="56" t="s">
        <v>696</v>
      </c>
      <c r="I212" s="56">
        <v>17300</v>
      </c>
      <c r="J212" s="56"/>
    </row>
    <row r="213" spans="2:10" ht="30" x14ac:dyDescent="0.25">
      <c r="B213" s="69">
        <v>205</v>
      </c>
      <c r="C213" s="56" t="s">
        <v>46</v>
      </c>
      <c r="D213" s="56" t="s">
        <v>14</v>
      </c>
      <c r="E213" s="56" t="s">
        <v>106</v>
      </c>
      <c r="F213" s="56" t="s">
        <v>697</v>
      </c>
      <c r="G213" s="56" t="s">
        <v>698</v>
      </c>
      <c r="H213" s="56" t="s">
        <v>699</v>
      </c>
      <c r="I213" s="56">
        <v>7081.2359999999999</v>
      </c>
      <c r="J213" s="56"/>
    </row>
    <row r="214" spans="2:10" ht="30" x14ac:dyDescent="0.25">
      <c r="B214" s="69">
        <v>206</v>
      </c>
      <c r="C214" s="56" t="s">
        <v>46</v>
      </c>
      <c r="D214" s="56" t="s">
        <v>14</v>
      </c>
      <c r="E214" s="56" t="s">
        <v>106</v>
      </c>
      <c r="F214" s="56" t="s">
        <v>700</v>
      </c>
      <c r="G214" s="56" t="s">
        <v>698</v>
      </c>
      <c r="H214" s="56" t="s">
        <v>701</v>
      </c>
      <c r="I214" s="56">
        <v>2076</v>
      </c>
      <c r="J214" s="56"/>
    </row>
    <row r="215" spans="2:10" ht="30" x14ac:dyDescent="0.25">
      <c r="B215" s="69">
        <v>207</v>
      </c>
      <c r="C215" s="56" t="s">
        <v>46</v>
      </c>
      <c r="D215" s="56" t="s">
        <v>14</v>
      </c>
      <c r="E215" s="56" t="s">
        <v>165</v>
      </c>
      <c r="F215" s="56" t="s">
        <v>702</v>
      </c>
      <c r="G215" s="56" t="s">
        <v>699</v>
      </c>
      <c r="H215" s="56" t="s">
        <v>703</v>
      </c>
      <c r="I215" s="56">
        <v>150.51</v>
      </c>
      <c r="J215" s="56"/>
    </row>
    <row r="216" spans="2:10" ht="30" x14ac:dyDescent="0.25">
      <c r="B216" s="69">
        <v>208</v>
      </c>
      <c r="C216" s="56" t="s">
        <v>46</v>
      </c>
      <c r="D216" s="56" t="s">
        <v>14</v>
      </c>
      <c r="E216" s="56" t="s">
        <v>637</v>
      </c>
      <c r="F216" s="56" t="s">
        <v>704</v>
      </c>
      <c r="G216" s="56" t="s">
        <v>705</v>
      </c>
      <c r="H216" s="56" t="s">
        <v>706</v>
      </c>
      <c r="I216" s="56">
        <v>10435.36</v>
      </c>
      <c r="J216" s="56"/>
    </row>
    <row r="217" spans="2:10" ht="30" x14ac:dyDescent="0.25">
      <c r="B217" s="69">
        <v>209</v>
      </c>
      <c r="C217" s="56" t="s">
        <v>46</v>
      </c>
      <c r="D217" s="56" t="s">
        <v>14</v>
      </c>
      <c r="E217" s="56" t="s">
        <v>637</v>
      </c>
      <c r="F217" s="56" t="s">
        <v>707</v>
      </c>
      <c r="G217" s="56" t="s">
        <v>708</v>
      </c>
      <c r="H217" s="56" t="s">
        <v>709</v>
      </c>
      <c r="I217" s="56">
        <v>1603.018</v>
      </c>
      <c r="J217" s="56"/>
    </row>
    <row r="218" spans="2:10" ht="30" x14ac:dyDescent="0.25">
      <c r="B218" s="69">
        <v>210</v>
      </c>
      <c r="C218" s="56" t="s">
        <v>46</v>
      </c>
      <c r="D218" s="56" t="s">
        <v>14</v>
      </c>
      <c r="E218" s="56" t="s">
        <v>637</v>
      </c>
      <c r="F218" s="56" t="s">
        <v>710</v>
      </c>
      <c r="G218" s="56" t="s">
        <v>708</v>
      </c>
      <c r="H218" s="56" t="s">
        <v>711</v>
      </c>
      <c r="I218" s="56">
        <v>13089.18</v>
      </c>
      <c r="J218" s="56"/>
    </row>
    <row r="219" spans="2:10" ht="30" x14ac:dyDescent="0.25">
      <c r="B219" s="69">
        <v>211</v>
      </c>
      <c r="C219" s="56" t="s">
        <v>46</v>
      </c>
      <c r="D219" s="56" t="s">
        <v>14</v>
      </c>
      <c r="E219" s="56" t="s">
        <v>122</v>
      </c>
      <c r="F219" s="56" t="s">
        <v>712</v>
      </c>
      <c r="G219" s="56" t="s">
        <v>713</v>
      </c>
      <c r="H219" s="56" t="s">
        <v>714</v>
      </c>
      <c r="I219" s="56">
        <v>13494</v>
      </c>
      <c r="J219" s="56"/>
    </row>
    <row r="220" spans="2:10" ht="30" x14ac:dyDescent="0.25">
      <c r="B220" s="69">
        <v>212</v>
      </c>
      <c r="C220" s="56" t="s">
        <v>46</v>
      </c>
      <c r="D220" s="56" t="s">
        <v>14</v>
      </c>
      <c r="E220" s="56" t="s">
        <v>529</v>
      </c>
      <c r="F220" s="56" t="s">
        <v>715</v>
      </c>
      <c r="G220" s="56" t="s">
        <v>716</v>
      </c>
      <c r="H220" s="56" t="s">
        <v>717</v>
      </c>
      <c r="I220" s="56">
        <v>76.915800000000004</v>
      </c>
      <c r="J220" s="56"/>
    </row>
    <row r="221" spans="2:10" ht="30" x14ac:dyDescent="0.25">
      <c r="B221" s="69">
        <v>213</v>
      </c>
      <c r="C221" s="56" t="s">
        <v>46</v>
      </c>
      <c r="D221" s="56" t="s">
        <v>14</v>
      </c>
      <c r="E221" s="56" t="s">
        <v>110</v>
      </c>
      <c r="F221" s="56" t="s">
        <v>718</v>
      </c>
      <c r="G221" s="56" t="s">
        <v>719</v>
      </c>
      <c r="H221" s="56" t="s">
        <v>720</v>
      </c>
      <c r="I221" s="56">
        <v>7715.8</v>
      </c>
      <c r="J221" s="56"/>
    </row>
    <row r="222" spans="2:10" ht="30" x14ac:dyDescent="0.25">
      <c r="B222" s="69">
        <v>214</v>
      </c>
      <c r="C222" s="56" t="s">
        <v>46</v>
      </c>
      <c r="D222" s="56" t="s">
        <v>14</v>
      </c>
      <c r="E222" s="56" t="s">
        <v>637</v>
      </c>
      <c r="F222" s="56" t="s">
        <v>721</v>
      </c>
      <c r="G222" s="56" t="s">
        <v>722</v>
      </c>
      <c r="H222" s="56" t="s">
        <v>723</v>
      </c>
      <c r="I222" s="56">
        <v>1055.3</v>
      </c>
      <c r="J222" s="56"/>
    </row>
    <row r="223" spans="2:10" ht="30" x14ac:dyDescent="0.25">
      <c r="B223" s="69">
        <v>215</v>
      </c>
      <c r="C223" s="56" t="s">
        <v>46</v>
      </c>
      <c r="D223" s="56" t="s">
        <v>14</v>
      </c>
      <c r="E223" s="56" t="s">
        <v>637</v>
      </c>
      <c r="F223" s="56" t="s">
        <v>724</v>
      </c>
      <c r="G223" s="56" t="s">
        <v>725</v>
      </c>
      <c r="H223" s="56" t="s">
        <v>726</v>
      </c>
      <c r="I223" s="56">
        <v>628.33600000000001</v>
      </c>
      <c r="J223" s="56"/>
    </row>
    <row r="224" spans="2:10" ht="30" x14ac:dyDescent="0.25">
      <c r="B224" s="69">
        <v>216</v>
      </c>
      <c r="C224" s="56" t="s">
        <v>46</v>
      </c>
      <c r="D224" s="56" t="s">
        <v>14</v>
      </c>
      <c r="E224" s="56" t="s">
        <v>110</v>
      </c>
      <c r="F224" s="56" t="s">
        <v>683</v>
      </c>
      <c r="G224" s="56" t="s">
        <v>725</v>
      </c>
      <c r="H224" s="56" t="s">
        <v>726</v>
      </c>
      <c r="I224" s="56">
        <v>6283.36</v>
      </c>
      <c r="J224" s="56"/>
    </row>
    <row r="225" spans="2:10" ht="30" x14ac:dyDescent="0.25">
      <c r="B225" s="69">
        <v>217</v>
      </c>
      <c r="C225" s="56" t="s">
        <v>46</v>
      </c>
      <c r="D225" s="56" t="s">
        <v>14</v>
      </c>
      <c r="E225" s="56" t="s">
        <v>165</v>
      </c>
      <c r="F225" s="56" t="s">
        <v>702</v>
      </c>
      <c r="G225" s="56" t="s">
        <v>727</v>
      </c>
      <c r="H225" s="56" t="s">
        <v>728</v>
      </c>
      <c r="I225" s="56">
        <v>178.536</v>
      </c>
      <c r="J225" s="56"/>
    </row>
    <row r="226" spans="2:10" ht="30" x14ac:dyDescent="0.25">
      <c r="B226" s="69">
        <v>218</v>
      </c>
      <c r="C226" s="56" t="s">
        <v>46</v>
      </c>
      <c r="D226" s="56" t="s">
        <v>14</v>
      </c>
      <c r="E226" s="56" t="s">
        <v>110</v>
      </c>
      <c r="F226" s="56" t="s">
        <v>729</v>
      </c>
      <c r="G226" s="56" t="s">
        <v>730</v>
      </c>
      <c r="H226" s="56" t="s">
        <v>730</v>
      </c>
      <c r="I226" s="56">
        <v>0</v>
      </c>
      <c r="J226" s="56"/>
    </row>
    <row r="227" spans="2:10" ht="30" x14ac:dyDescent="0.25">
      <c r="B227" s="69">
        <v>219</v>
      </c>
      <c r="C227" s="56" t="s">
        <v>46</v>
      </c>
      <c r="D227" s="56" t="s">
        <v>14</v>
      </c>
      <c r="E227" s="56" t="s">
        <v>637</v>
      </c>
      <c r="F227" s="56" t="s">
        <v>731</v>
      </c>
      <c r="G227" s="56" t="s">
        <v>732</v>
      </c>
      <c r="H227" s="56" t="s">
        <v>733</v>
      </c>
      <c r="I227" s="56">
        <v>519</v>
      </c>
      <c r="J227" s="56"/>
    </row>
    <row r="228" spans="2:10" ht="30" x14ac:dyDescent="0.25">
      <c r="B228" s="69">
        <v>220</v>
      </c>
      <c r="C228" s="56" t="s">
        <v>46</v>
      </c>
      <c r="D228" s="56" t="s">
        <v>14</v>
      </c>
      <c r="E228" s="56" t="s">
        <v>734</v>
      </c>
      <c r="F228" s="56" t="s">
        <v>735</v>
      </c>
      <c r="G228" s="56" t="s">
        <v>736</v>
      </c>
      <c r="H228" s="56" t="s">
        <v>737</v>
      </c>
      <c r="I228" s="56">
        <v>30967</v>
      </c>
      <c r="J228" s="56"/>
    </row>
    <row r="229" spans="2:10" ht="30" x14ac:dyDescent="0.25">
      <c r="B229" s="69">
        <v>221</v>
      </c>
      <c r="C229" s="56" t="s">
        <v>46</v>
      </c>
      <c r="D229" s="56" t="s">
        <v>14</v>
      </c>
      <c r="E229" s="56" t="s">
        <v>122</v>
      </c>
      <c r="F229" s="56" t="s">
        <v>738</v>
      </c>
      <c r="G229" s="56" t="s">
        <v>739</v>
      </c>
      <c r="H229" s="56" t="s">
        <v>740</v>
      </c>
      <c r="I229" s="56">
        <v>34.158000000000001</v>
      </c>
      <c r="J229" s="56"/>
    </row>
    <row r="230" spans="2:10" ht="30" x14ac:dyDescent="0.25">
      <c r="B230" s="69">
        <v>222</v>
      </c>
      <c r="C230" s="56" t="s">
        <v>46</v>
      </c>
      <c r="D230" s="56" t="s">
        <v>14</v>
      </c>
      <c r="E230" s="56" t="s">
        <v>637</v>
      </c>
      <c r="F230" s="56" t="s">
        <v>741</v>
      </c>
      <c r="G230" s="56" t="s">
        <v>742</v>
      </c>
      <c r="H230" s="56" t="s">
        <v>743</v>
      </c>
      <c r="I230" s="56">
        <v>92.692999999999998</v>
      </c>
      <c r="J230" s="56"/>
    </row>
    <row r="231" spans="2:10" ht="30" x14ac:dyDescent="0.25">
      <c r="B231" s="69">
        <v>223</v>
      </c>
      <c r="C231" s="56" t="s">
        <v>46</v>
      </c>
      <c r="D231" s="56" t="s">
        <v>14</v>
      </c>
      <c r="E231" s="56" t="s">
        <v>110</v>
      </c>
      <c r="F231" s="56" t="s">
        <v>744</v>
      </c>
      <c r="G231" s="56" t="s">
        <v>745</v>
      </c>
      <c r="H231" s="56" t="s">
        <v>746</v>
      </c>
      <c r="I231" s="56">
        <v>598.58000000000004</v>
      </c>
      <c r="J231" s="56"/>
    </row>
    <row r="232" spans="2:10" ht="30" x14ac:dyDescent="0.25">
      <c r="B232" s="69">
        <v>224</v>
      </c>
      <c r="C232" s="56" t="s">
        <v>46</v>
      </c>
      <c r="D232" s="56" t="s">
        <v>14</v>
      </c>
      <c r="E232" s="56" t="s">
        <v>747</v>
      </c>
      <c r="F232" s="56" t="s">
        <v>748</v>
      </c>
      <c r="G232" s="56" t="s">
        <v>749</v>
      </c>
      <c r="H232" s="56" t="s">
        <v>750</v>
      </c>
      <c r="I232" s="56">
        <v>853.23599999999999</v>
      </c>
      <c r="J232" s="56"/>
    </row>
    <row r="233" spans="2:10" ht="30" x14ac:dyDescent="0.25">
      <c r="B233" s="69">
        <v>225</v>
      </c>
      <c r="C233" s="56" t="s">
        <v>46</v>
      </c>
      <c r="D233" s="56" t="s">
        <v>14</v>
      </c>
      <c r="E233" s="56" t="s">
        <v>751</v>
      </c>
      <c r="F233" s="56" t="s">
        <v>93</v>
      </c>
      <c r="G233" s="56" t="s">
        <v>752</v>
      </c>
      <c r="H233" s="56" t="s">
        <v>753</v>
      </c>
      <c r="I233" s="56">
        <v>11245</v>
      </c>
      <c r="J233" s="56"/>
    </row>
    <row r="234" spans="2:10" ht="30" x14ac:dyDescent="0.25">
      <c r="B234" s="69">
        <v>226</v>
      </c>
      <c r="C234" s="56" t="s">
        <v>46</v>
      </c>
      <c r="D234" s="56" t="s">
        <v>14</v>
      </c>
      <c r="E234" s="56" t="s">
        <v>754</v>
      </c>
      <c r="F234" s="56" t="s">
        <v>755</v>
      </c>
      <c r="G234" s="56" t="s">
        <v>756</v>
      </c>
      <c r="H234" s="56" t="s">
        <v>757</v>
      </c>
      <c r="I234" s="56">
        <v>1730</v>
      </c>
      <c r="J234" s="56"/>
    </row>
    <row r="235" spans="2:10" ht="30" x14ac:dyDescent="0.25">
      <c r="B235" s="69">
        <v>227</v>
      </c>
      <c r="C235" s="56" t="s">
        <v>46</v>
      </c>
      <c r="D235" s="56" t="s">
        <v>14</v>
      </c>
      <c r="E235" s="56" t="s">
        <v>529</v>
      </c>
      <c r="F235" s="56" t="s">
        <v>758</v>
      </c>
      <c r="G235" s="56" t="s">
        <v>759</v>
      </c>
      <c r="H235" s="56" t="s">
        <v>760</v>
      </c>
      <c r="I235" s="56">
        <v>1873.9359999999999</v>
      </c>
      <c r="J235" s="56"/>
    </row>
    <row r="236" spans="2:10" ht="30" x14ac:dyDescent="0.25">
      <c r="B236" s="69">
        <v>228</v>
      </c>
      <c r="C236" s="56" t="s">
        <v>46</v>
      </c>
      <c r="D236" s="56" t="s">
        <v>14</v>
      </c>
      <c r="E236" s="56" t="s">
        <v>637</v>
      </c>
      <c r="F236" s="56" t="s">
        <v>761</v>
      </c>
      <c r="G236" s="56" t="s">
        <v>762</v>
      </c>
      <c r="H236" s="56" t="s">
        <v>763</v>
      </c>
      <c r="I236" s="56">
        <v>9515</v>
      </c>
      <c r="J236" s="56"/>
    </row>
    <row r="237" spans="2:10" ht="30" x14ac:dyDescent="0.25">
      <c r="B237" s="69">
        <v>229</v>
      </c>
      <c r="C237" s="56" t="s">
        <v>46</v>
      </c>
      <c r="D237" s="56" t="s">
        <v>14</v>
      </c>
      <c r="E237" s="56" t="s">
        <v>764</v>
      </c>
      <c r="F237" s="56" t="s">
        <v>765</v>
      </c>
      <c r="G237" s="56" t="s">
        <v>766</v>
      </c>
      <c r="H237" s="56" t="s">
        <v>767</v>
      </c>
      <c r="I237" s="56">
        <v>90.05</v>
      </c>
      <c r="J237" s="56"/>
    </row>
    <row r="238" spans="2:10" ht="30" x14ac:dyDescent="0.25">
      <c r="B238" s="69">
        <v>230</v>
      </c>
      <c r="C238" s="56" t="s">
        <v>46</v>
      </c>
      <c r="D238" s="56" t="s">
        <v>14</v>
      </c>
      <c r="E238" s="56" t="s">
        <v>751</v>
      </c>
      <c r="F238" s="56" t="s">
        <v>93</v>
      </c>
      <c r="G238" s="56" t="s">
        <v>768</v>
      </c>
      <c r="H238" s="56" t="s">
        <v>769</v>
      </c>
      <c r="I238" s="56">
        <v>12051.18</v>
      </c>
      <c r="J238" s="56"/>
    </row>
    <row r="239" spans="2:10" ht="30" x14ac:dyDescent="0.25">
      <c r="B239" s="69">
        <v>231</v>
      </c>
      <c r="C239" s="56" t="s">
        <v>46</v>
      </c>
      <c r="D239" s="56" t="s">
        <v>14</v>
      </c>
      <c r="E239" s="56" t="s">
        <v>110</v>
      </c>
      <c r="F239" s="56" t="s">
        <v>770</v>
      </c>
      <c r="G239" s="56" t="s">
        <v>771</v>
      </c>
      <c r="H239" s="56" t="s">
        <v>772</v>
      </c>
      <c r="I239" s="56">
        <v>4266.18</v>
      </c>
      <c r="J239" s="56"/>
    </row>
    <row r="240" spans="2:10" ht="30" x14ac:dyDescent="0.25">
      <c r="B240" s="69">
        <v>232</v>
      </c>
      <c r="C240" s="56" t="s">
        <v>46</v>
      </c>
      <c r="D240" s="56" t="s">
        <v>14</v>
      </c>
      <c r="E240" s="56" t="s">
        <v>122</v>
      </c>
      <c r="F240" s="56" t="s">
        <v>773</v>
      </c>
      <c r="G240" s="56" t="s">
        <v>774</v>
      </c>
      <c r="H240" s="56" t="s">
        <v>775</v>
      </c>
      <c r="I240" s="56">
        <v>8186.36</v>
      </c>
      <c r="J240" s="56"/>
    </row>
    <row r="241" spans="2:10" ht="30" x14ac:dyDescent="0.25">
      <c r="B241" s="69">
        <v>233</v>
      </c>
      <c r="C241" s="56" t="s">
        <v>46</v>
      </c>
      <c r="D241" s="56" t="s">
        <v>14</v>
      </c>
      <c r="E241" s="56" t="s">
        <v>637</v>
      </c>
      <c r="F241" s="56" t="s">
        <v>776</v>
      </c>
      <c r="G241" s="56" t="s">
        <v>777</v>
      </c>
      <c r="H241" s="56" t="s">
        <v>778</v>
      </c>
      <c r="I241" s="56">
        <v>36.287999999999997</v>
      </c>
      <c r="J241" s="56"/>
    </row>
    <row r="242" spans="2:10" ht="30" x14ac:dyDescent="0.25">
      <c r="B242" s="69">
        <v>234</v>
      </c>
      <c r="C242" s="56" t="s">
        <v>46</v>
      </c>
      <c r="D242" s="56" t="s">
        <v>14</v>
      </c>
      <c r="E242" s="56" t="s">
        <v>106</v>
      </c>
      <c r="F242" s="56" t="s">
        <v>779</v>
      </c>
      <c r="G242" s="56" t="s">
        <v>780</v>
      </c>
      <c r="H242" s="56" t="s">
        <v>781</v>
      </c>
      <c r="I242" s="56">
        <v>664.32</v>
      </c>
      <c r="J242" s="56"/>
    </row>
    <row r="243" spans="2:10" ht="30" x14ac:dyDescent="0.25">
      <c r="B243" s="69">
        <v>235</v>
      </c>
      <c r="C243" s="56" t="s">
        <v>46</v>
      </c>
      <c r="D243" s="56" t="s">
        <v>14</v>
      </c>
      <c r="E243" s="56" t="s">
        <v>106</v>
      </c>
      <c r="F243" s="56" t="s">
        <v>782</v>
      </c>
      <c r="G243" s="56" t="s">
        <v>783</v>
      </c>
      <c r="H243" s="56" t="s">
        <v>784</v>
      </c>
      <c r="I243" s="56">
        <v>242.2</v>
      </c>
      <c r="J243" s="56"/>
    </row>
    <row r="244" spans="2:10" ht="30" x14ac:dyDescent="0.25">
      <c r="B244" s="69">
        <v>236</v>
      </c>
      <c r="C244" s="56" t="s">
        <v>46</v>
      </c>
      <c r="D244" s="56" t="s">
        <v>14</v>
      </c>
      <c r="E244" s="56" t="s">
        <v>734</v>
      </c>
      <c r="F244" s="56" t="s">
        <v>735</v>
      </c>
      <c r="G244" s="56" t="s">
        <v>785</v>
      </c>
      <c r="H244" s="56" t="s">
        <v>786</v>
      </c>
      <c r="I244" s="56">
        <v>18393.36</v>
      </c>
      <c r="J244" s="56"/>
    </row>
    <row r="245" spans="2:10" ht="30" x14ac:dyDescent="0.25">
      <c r="B245" s="69">
        <v>237</v>
      </c>
      <c r="C245" s="56" t="s">
        <v>46</v>
      </c>
      <c r="D245" s="56" t="s">
        <v>14</v>
      </c>
      <c r="E245" s="56" t="s">
        <v>122</v>
      </c>
      <c r="F245" s="56" t="s">
        <v>787</v>
      </c>
      <c r="G245" s="56" t="s">
        <v>788</v>
      </c>
      <c r="H245" s="56" t="s">
        <v>789</v>
      </c>
      <c r="I245" s="56">
        <v>66.265000000000001</v>
      </c>
      <c r="J245" s="56"/>
    </row>
    <row r="246" spans="2:10" ht="30" x14ac:dyDescent="0.25">
      <c r="B246" s="69">
        <v>238</v>
      </c>
      <c r="C246" s="56" t="s">
        <v>46</v>
      </c>
      <c r="D246" s="56" t="s">
        <v>14</v>
      </c>
      <c r="E246" s="56" t="s">
        <v>637</v>
      </c>
      <c r="F246" s="56" t="s">
        <v>509</v>
      </c>
      <c r="G246" s="56" t="s">
        <v>790</v>
      </c>
      <c r="H246" s="56" t="s">
        <v>791</v>
      </c>
      <c r="I246" s="56">
        <v>7612</v>
      </c>
      <c r="J246" s="56"/>
    </row>
    <row r="247" spans="2:10" ht="30" x14ac:dyDescent="0.25">
      <c r="B247" s="69">
        <v>239</v>
      </c>
      <c r="C247" s="56" t="s">
        <v>46</v>
      </c>
      <c r="D247" s="56" t="s">
        <v>14</v>
      </c>
      <c r="E247" s="56" t="s">
        <v>529</v>
      </c>
      <c r="F247" s="56" t="s">
        <v>792</v>
      </c>
      <c r="G247" s="56" t="s">
        <v>793</v>
      </c>
      <c r="H247" s="56" t="s">
        <v>794</v>
      </c>
      <c r="I247" s="56">
        <v>42.716999999999999</v>
      </c>
      <c r="J247" s="56"/>
    </row>
    <row r="248" spans="2:10" ht="30" x14ac:dyDescent="0.25">
      <c r="B248" s="69">
        <v>240</v>
      </c>
      <c r="C248" s="56" t="s">
        <v>46</v>
      </c>
      <c r="D248" s="56" t="s">
        <v>14</v>
      </c>
      <c r="E248" s="56" t="s">
        <v>637</v>
      </c>
      <c r="F248" s="56" t="s">
        <v>795</v>
      </c>
      <c r="G248" s="56" t="s">
        <v>796</v>
      </c>
      <c r="H248" s="56" t="s">
        <v>797</v>
      </c>
      <c r="I248" s="56">
        <v>98.61</v>
      </c>
      <c r="J248" s="56"/>
    </row>
    <row r="249" spans="2:10" ht="30" x14ac:dyDescent="0.25">
      <c r="B249" s="69">
        <v>241</v>
      </c>
      <c r="C249" s="56" t="s">
        <v>46</v>
      </c>
      <c r="D249" s="56" t="s">
        <v>14</v>
      </c>
      <c r="E249" s="56" t="s">
        <v>637</v>
      </c>
      <c r="F249" s="56" t="s">
        <v>798</v>
      </c>
      <c r="G249" s="56" t="s">
        <v>799</v>
      </c>
      <c r="H249" s="56" t="s">
        <v>800</v>
      </c>
      <c r="I249" s="56">
        <v>8.5190000000000001</v>
      </c>
      <c r="J249" s="56"/>
    </row>
    <row r="250" spans="2:10" ht="30" x14ac:dyDescent="0.25">
      <c r="B250" s="69">
        <v>242</v>
      </c>
      <c r="C250" s="56" t="s">
        <v>46</v>
      </c>
      <c r="D250" s="56" t="s">
        <v>14</v>
      </c>
      <c r="E250" s="56" t="s">
        <v>801</v>
      </c>
      <c r="F250" s="56" t="s">
        <v>802</v>
      </c>
      <c r="G250" s="56" t="s">
        <v>803</v>
      </c>
      <c r="H250" s="56" t="s">
        <v>803</v>
      </c>
      <c r="I250" s="56">
        <v>0</v>
      </c>
      <c r="J250" s="56"/>
    </row>
    <row r="251" spans="2:10" ht="45" x14ac:dyDescent="0.25">
      <c r="B251" s="69">
        <v>243</v>
      </c>
      <c r="C251" s="56" t="s">
        <v>804</v>
      </c>
      <c r="D251" s="56" t="s">
        <v>14</v>
      </c>
      <c r="E251" s="56" t="s">
        <v>805</v>
      </c>
      <c r="F251" s="56" t="s">
        <v>806</v>
      </c>
      <c r="G251" s="56" t="s">
        <v>876</v>
      </c>
      <c r="H251" s="56" t="s">
        <v>807</v>
      </c>
      <c r="I251" s="56">
        <v>601</v>
      </c>
      <c r="J251" s="56"/>
    </row>
    <row r="252" spans="2:10" ht="45" x14ac:dyDescent="0.25">
      <c r="B252" s="69">
        <v>244</v>
      </c>
      <c r="C252" s="56" t="s">
        <v>804</v>
      </c>
      <c r="D252" s="56" t="s">
        <v>14</v>
      </c>
      <c r="E252" s="56" t="s">
        <v>805</v>
      </c>
      <c r="F252" s="56" t="s">
        <v>808</v>
      </c>
      <c r="G252" s="56" t="s">
        <v>809</v>
      </c>
      <c r="H252" s="56" t="s">
        <v>810</v>
      </c>
      <c r="I252" s="56">
        <v>1123</v>
      </c>
      <c r="J252" s="56"/>
    </row>
    <row r="253" spans="2:10" ht="45" x14ac:dyDescent="0.25">
      <c r="B253" s="69">
        <v>245</v>
      </c>
      <c r="C253" s="56" t="s">
        <v>804</v>
      </c>
      <c r="D253" s="56" t="s">
        <v>14</v>
      </c>
      <c r="E253" s="56" t="s">
        <v>805</v>
      </c>
      <c r="F253" s="56" t="s">
        <v>811</v>
      </c>
      <c r="G253" s="56" t="s">
        <v>812</v>
      </c>
      <c r="H253" s="56" t="s">
        <v>813</v>
      </c>
      <c r="I253" s="56">
        <v>980</v>
      </c>
      <c r="J253" s="56"/>
    </row>
    <row r="254" spans="2:10" ht="45" x14ac:dyDescent="0.25">
      <c r="B254" s="69">
        <v>246</v>
      </c>
      <c r="C254" s="56" t="s">
        <v>804</v>
      </c>
      <c r="D254" s="56" t="s">
        <v>14</v>
      </c>
      <c r="E254" s="56" t="s">
        <v>805</v>
      </c>
      <c r="F254" s="56" t="s">
        <v>814</v>
      </c>
      <c r="G254" s="56" t="s">
        <v>815</v>
      </c>
      <c r="H254" s="56" t="s">
        <v>816</v>
      </c>
      <c r="I254" s="56">
        <v>1262</v>
      </c>
      <c r="J254" s="56"/>
    </row>
    <row r="255" spans="2:10" ht="45" x14ac:dyDescent="0.25">
      <c r="B255" s="69">
        <v>247</v>
      </c>
      <c r="C255" s="56" t="s">
        <v>804</v>
      </c>
      <c r="D255" s="56" t="s">
        <v>14</v>
      </c>
      <c r="E255" s="56" t="s">
        <v>805</v>
      </c>
      <c r="F255" s="56" t="s">
        <v>817</v>
      </c>
      <c r="G255" s="56" t="s">
        <v>818</v>
      </c>
      <c r="H255" s="56" t="s">
        <v>819</v>
      </c>
      <c r="I255" s="56">
        <v>2381</v>
      </c>
      <c r="J255" s="56"/>
    </row>
    <row r="256" spans="2:10" ht="45" x14ac:dyDescent="0.25">
      <c r="B256" s="69">
        <v>248</v>
      </c>
      <c r="C256" s="56" t="s">
        <v>804</v>
      </c>
      <c r="D256" s="56" t="s">
        <v>14</v>
      </c>
      <c r="E256" s="56" t="s">
        <v>805</v>
      </c>
      <c r="F256" s="56" t="s">
        <v>820</v>
      </c>
      <c r="G256" s="56" t="s">
        <v>821</v>
      </c>
      <c r="H256" s="56" t="s">
        <v>822</v>
      </c>
      <c r="I256" s="56">
        <v>0</v>
      </c>
      <c r="J256" s="56"/>
    </row>
    <row r="257" spans="2:10" ht="45" x14ac:dyDescent="0.25">
      <c r="B257" s="69">
        <v>249</v>
      </c>
      <c r="C257" s="56" t="s">
        <v>804</v>
      </c>
      <c r="D257" s="56" t="s">
        <v>14</v>
      </c>
      <c r="E257" s="56" t="s">
        <v>805</v>
      </c>
      <c r="F257" s="56" t="s">
        <v>823</v>
      </c>
      <c r="G257" s="56" t="s">
        <v>824</v>
      </c>
      <c r="H257" s="56" t="s">
        <v>824</v>
      </c>
      <c r="I257" s="56">
        <v>0</v>
      </c>
      <c r="J257" s="56"/>
    </row>
    <row r="258" spans="2:10" ht="45" x14ac:dyDescent="0.25">
      <c r="B258" s="69">
        <v>250</v>
      </c>
      <c r="C258" s="56" t="s">
        <v>804</v>
      </c>
      <c r="D258" s="56" t="s">
        <v>14</v>
      </c>
      <c r="E258" s="56" t="s">
        <v>805</v>
      </c>
      <c r="F258" s="56" t="s">
        <v>825</v>
      </c>
      <c r="G258" s="56" t="s">
        <v>826</v>
      </c>
      <c r="H258" s="56" t="s">
        <v>827</v>
      </c>
      <c r="I258" s="56">
        <v>0</v>
      </c>
      <c r="J258" s="56"/>
    </row>
    <row r="259" spans="2:10" ht="45" x14ac:dyDescent="0.25">
      <c r="B259" s="69">
        <v>251</v>
      </c>
      <c r="C259" s="56" t="s">
        <v>804</v>
      </c>
      <c r="D259" s="56" t="s">
        <v>14</v>
      </c>
      <c r="E259" s="56" t="s">
        <v>805</v>
      </c>
      <c r="F259" s="56" t="s">
        <v>828</v>
      </c>
      <c r="G259" s="56" t="s">
        <v>829</v>
      </c>
      <c r="H259" s="56" t="s">
        <v>830</v>
      </c>
      <c r="I259" s="56" t="s">
        <v>831</v>
      </c>
      <c r="J259" s="56"/>
    </row>
    <row r="260" spans="2:10" ht="45" x14ac:dyDescent="0.25">
      <c r="B260" s="69">
        <v>252</v>
      </c>
      <c r="C260" s="56" t="s">
        <v>804</v>
      </c>
      <c r="D260" s="56" t="s">
        <v>14</v>
      </c>
      <c r="E260" s="56" t="s">
        <v>805</v>
      </c>
      <c r="F260" s="56" t="s">
        <v>832</v>
      </c>
      <c r="G260" s="56" t="s">
        <v>833</v>
      </c>
      <c r="H260" s="56" t="s">
        <v>834</v>
      </c>
      <c r="I260" s="56">
        <v>546</v>
      </c>
      <c r="J260" s="56"/>
    </row>
    <row r="261" spans="2:10" ht="45" x14ac:dyDescent="0.25">
      <c r="B261" s="69">
        <v>253</v>
      </c>
      <c r="C261" s="56" t="s">
        <v>804</v>
      </c>
      <c r="D261" s="56" t="s">
        <v>14</v>
      </c>
      <c r="E261" s="56" t="s">
        <v>805</v>
      </c>
      <c r="F261" s="56" t="s">
        <v>835</v>
      </c>
      <c r="G261" s="56" t="s">
        <v>836</v>
      </c>
      <c r="H261" s="56" t="s">
        <v>837</v>
      </c>
      <c r="I261" s="56">
        <v>176</v>
      </c>
      <c r="J261" s="56"/>
    </row>
    <row r="262" spans="2:10" ht="45" x14ac:dyDescent="0.25">
      <c r="B262" s="69">
        <v>254</v>
      </c>
      <c r="C262" s="56" t="s">
        <v>804</v>
      </c>
      <c r="D262" s="56" t="s">
        <v>14</v>
      </c>
      <c r="E262" s="56" t="s">
        <v>805</v>
      </c>
      <c r="F262" s="56" t="s">
        <v>838</v>
      </c>
      <c r="G262" s="56" t="s">
        <v>839</v>
      </c>
      <c r="H262" s="56" t="s">
        <v>840</v>
      </c>
      <c r="I262" s="56">
        <v>2302</v>
      </c>
      <c r="J262" s="56"/>
    </row>
    <row r="263" spans="2:10" ht="45" x14ac:dyDescent="0.25">
      <c r="B263" s="69">
        <v>255</v>
      </c>
      <c r="C263" s="56" t="s">
        <v>804</v>
      </c>
      <c r="D263" s="56" t="s">
        <v>14</v>
      </c>
      <c r="E263" s="56" t="s">
        <v>805</v>
      </c>
      <c r="F263" s="56" t="s">
        <v>841</v>
      </c>
      <c r="G263" s="56" t="s">
        <v>839</v>
      </c>
      <c r="H263" s="56" t="s">
        <v>842</v>
      </c>
      <c r="I263" s="56">
        <v>1951</v>
      </c>
      <c r="J263" s="56"/>
    </row>
    <row r="264" spans="2:10" ht="45" x14ac:dyDescent="0.25">
      <c r="B264" s="69">
        <v>256</v>
      </c>
      <c r="C264" s="56" t="s">
        <v>804</v>
      </c>
      <c r="D264" s="56" t="s">
        <v>14</v>
      </c>
      <c r="E264" s="56" t="s">
        <v>805</v>
      </c>
      <c r="F264" s="56" t="s">
        <v>843</v>
      </c>
      <c r="G264" s="56" t="s">
        <v>844</v>
      </c>
      <c r="H264" s="56" t="s">
        <v>845</v>
      </c>
      <c r="I264" s="56">
        <v>3093</v>
      </c>
      <c r="J264" s="56"/>
    </row>
    <row r="265" spans="2:10" ht="45" x14ac:dyDescent="0.25">
      <c r="B265" s="69">
        <v>257</v>
      </c>
      <c r="C265" s="56" t="s">
        <v>804</v>
      </c>
      <c r="D265" s="56" t="s">
        <v>14</v>
      </c>
      <c r="E265" s="56" t="s">
        <v>805</v>
      </c>
      <c r="F265" s="56" t="s">
        <v>846</v>
      </c>
      <c r="G265" s="56" t="s">
        <v>847</v>
      </c>
      <c r="H265" s="56" t="s">
        <v>848</v>
      </c>
      <c r="I265" s="56">
        <v>1473</v>
      </c>
      <c r="J265" s="56"/>
    </row>
    <row r="266" spans="2:10" ht="45" x14ac:dyDescent="0.25">
      <c r="B266" s="69">
        <v>258</v>
      </c>
      <c r="C266" s="56" t="s">
        <v>804</v>
      </c>
      <c r="D266" s="56" t="s">
        <v>14</v>
      </c>
      <c r="E266" s="56" t="s">
        <v>805</v>
      </c>
      <c r="F266" s="56" t="s">
        <v>849</v>
      </c>
      <c r="G266" s="56" t="s">
        <v>850</v>
      </c>
      <c r="H266" s="56" t="s">
        <v>850</v>
      </c>
      <c r="I266" s="56">
        <v>0</v>
      </c>
      <c r="J266" s="56"/>
    </row>
    <row r="267" spans="2:10" ht="45" x14ac:dyDescent="0.25">
      <c r="B267" s="69">
        <v>259</v>
      </c>
      <c r="C267" s="56" t="s">
        <v>804</v>
      </c>
      <c r="D267" s="56" t="s">
        <v>14</v>
      </c>
      <c r="E267" s="56" t="s">
        <v>805</v>
      </c>
      <c r="F267" s="56" t="s">
        <v>851</v>
      </c>
      <c r="G267" s="56" t="s">
        <v>850</v>
      </c>
      <c r="H267" s="56" t="s">
        <v>850</v>
      </c>
      <c r="I267" s="56">
        <v>0</v>
      </c>
      <c r="J267" s="56"/>
    </row>
    <row r="268" spans="2:10" ht="45" x14ac:dyDescent="0.25">
      <c r="B268" s="69">
        <v>260</v>
      </c>
      <c r="C268" s="56" t="s">
        <v>804</v>
      </c>
      <c r="D268" s="56" t="s">
        <v>14</v>
      </c>
      <c r="E268" s="56" t="s">
        <v>805</v>
      </c>
      <c r="F268" s="56" t="s">
        <v>852</v>
      </c>
      <c r="G268" s="56" t="s">
        <v>850</v>
      </c>
      <c r="H268" s="56" t="s">
        <v>850</v>
      </c>
      <c r="I268" s="56">
        <v>0</v>
      </c>
      <c r="J268" s="56"/>
    </row>
    <row r="269" spans="2:10" ht="45" x14ac:dyDescent="0.25">
      <c r="B269" s="69">
        <v>261</v>
      </c>
      <c r="C269" s="56" t="s">
        <v>804</v>
      </c>
      <c r="D269" s="56" t="s">
        <v>14</v>
      </c>
      <c r="E269" s="56" t="s">
        <v>805</v>
      </c>
      <c r="F269" s="56" t="s">
        <v>853</v>
      </c>
      <c r="G269" s="56" t="s">
        <v>850</v>
      </c>
      <c r="H269" s="56" t="s">
        <v>850</v>
      </c>
      <c r="I269" s="56">
        <v>0</v>
      </c>
      <c r="J269" s="56"/>
    </row>
    <row r="270" spans="2:10" ht="45" x14ac:dyDescent="0.25">
      <c r="B270" s="69">
        <v>262</v>
      </c>
      <c r="C270" s="56" t="s">
        <v>804</v>
      </c>
      <c r="D270" s="56" t="s">
        <v>14</v>
      </c>
      <c r="E270" s="56" t="s">
        <v>805</v>
      </c>
      <c r="F270" s="56" t="s">
        <v>854</v>
      </c>
      <c r="G270" s="56" t="s">
        <v>855</v>
      </c>
      <c r="H270" s="56" t="s">
        <v>856</v>
      </c>
      <c r="I270" s="56">
        <v>10834</v>
      </c>
      <c r="J270" s="56"/>
    </row>
    <row r="271" spans="2:10" ht="45" x14ac:dyDescent="0.25">
      <c r="B271" s="69">
        <v>263</v>
      </c>
      <c r="C271" s="56" t="s">
        <v>804</v>
      </c>
      <c r="D271" s="56" t="s">
        <v>14</v>
      </c>
      <c r="E271" s="56" t="s">
        <v>805</v>
      </c>
      <c r="F271" s="56" t="s">
        <v>857</v>
      </c>
      <c r="G271" s="56" t="s">
        <v>858</v>
      </c>
      <c r="H271" s="56" t="s">
        <v>859</v>
      </c>
      <c r="I271" s="56">
        <v>976</v>
      </c>
      <c r="J271" s="56"/>
    </row>
    <row r="272" spans="2:10" ht="45" x14ac:dyDescent="0.25">
      <c r="B272" s="69">
        <v>264</v>
      </c>
      <c r="C272" s="56" t="s">
        <v>860</v>
      </c>
      <c r="D272" s="56" t="s">
        <v>14</v>
      </c>
      <c r="E272" s="56" t="s">
        <v>861</v>
      </c>
      <c r="F272" s="56" t="s">
        <v>862</v>
      </c>
      <c r="G272" s="56" t="s">
        <v>863</v>
      </c>
      <c r="H272" s="56" t="s">
        <v>864</v>
      </c>
      <c r="I272" s="56">
        <v>2930</v>
      </c>
      <c r="J272" s="56"/>
    </row>
    <row r="273" spans="2:10" ht="45" x14ac:dyDescent="0.25">
      <c r="B273" s="69">
        <v>265</v>
      </c>
      <c r="C273" s="56" t="s">
        <v>860</v>
      </c>
      <c r="D273" s="56" t="s">
        <v>14</v>
      </c>
      <c r="E273" s="56" t="s">
        <v>861</v>
      </c>
      <c r="F273" s="56" t="s">
        <v>865</v>
      </c>
      <c r="G273" s="56" t="s">
        <v>866</v>
      </c>
      <c r="H273" s="56" t="s">
        <v>867</v>
      </c>
      <c r="I273" s="56">
        <v>96</v>
      </c>
      <c r="J273" s="56"/>
    </row>
    <row r="274" spans="2:10" ht="45" x14ac:dyDescent="0.25">
      <c r="B274" s="69">
        <v>266</v>
      </c>
      <c r="C274" s="56" t="s">
        <v>860</v>
      </c>
      <c r="D274" s="56" t="s">
        <v>14</v>
      </c>
      <c r="E274" s="56" t="s">
        <v>861</v>
      </c>
      <c r="F274" s="56" t="s">
        <v>868</v>
      </c>
      <c r="G274" s="56" t="s">
        <v>869</v>
      </c>
      <c r="H274" s="56" t="s">
        <v>870</v>
      </c>
      <c r="I274" s="56">
        <v>180</v>
      </c>
      <c r="J274" s="56"/>
    </row>
    <row r="275" spans="2:10" ht="45" x14ac:dyDescent="0.25">
      <c r="B275" s="69">
        <v>267</v>
      </c>
      <c r="C275" s="56" t="s">
        <v>860</v>
      </c>
      <c r="D275" s="56" t="s">
        <v>14</v>
      </c>
      <c r="E275" s="56" t="s">
        <v>861</v>
      </c>
      <c r="F275" s="56" t="s">
        <v>871</v>
      </c>
      <c r="G275" s="56" t="s">
        <v>872</v>
      </c>
      <c r="H275" s="56" t="s">
        <v>873</v>
      </c>
      <c r="I275" s="56">
        <v>406</v>
      </c>
      <c r="J275" s="56"/>
    </row>
    <row r="276" spans="2:10" ht="45" x14ac:dyDescent="0.25">
      <c r="B276" s="69">
        <v>268</v>
      </c>
      <c r="C276" s="56" t="s">
        <v>860</v>
      </c>
      <c r="D276" s="56" t="s">
        <v>14</v>
      </c>
      <c r="E276" s="56" t="s">
        <v>861</v>
      </c>
      <c r="F276" s="56" t="s">
        <v>868</v>
      </c>
      <c r="G276" s="56" t="s">
        <v>874</v>
      </c>
      <c r="H276" s="56" t="s">
        <v>875</v>
      </c>
      <c r="I276" s="56">
        <v>167</v>
      </c>
      <c r="J276" s="56"/>
    </row>
    <row r="277" spans="2:10" ht="19.5" thickBot="1" x14ac:dyDescent="0.3">
      <c r="H277" s="22" t="s">
        <v>9</v>
      </c>
      <c r="I277" s="23">
        <f>SUM(I9:I276)</f>
        <v>931165.86398000026</v>
      </c>
    </row>
  </sheetData>
  <mergeCells count="12">
    <mergeCell ref="H7:H8"/>
    <mergeCell ref="I7:I8"/>
    <mergeCell ref="J7:J8"/>
    <mergeCell ref="I2:J2"/>
    <mergeCell ref="I3:J3"/>
    <mergeCell ref="B4:J4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3"/>
  <sheetViews>
    <sheetView workbookViewId="0">
      <selection activeCell="B4" sqref="B4:J4"/>
    </sheetView>
  </sheetViews>
  <sheetFormatPr defaultColWidth="9.140625" defaultRowHeight="15" x14ac:dyDescent="0.25"/>
  <cols>
    <col min="1" max="1" width="9.140625" style="49"/>
    <col min="2" max="2" width="5.5703125" style="49" customWidth="1"/>
    <col min="3" max="3" width="13.7109375" style="49" customWidth="1"/>
    <col min="4" max="4" width="15.5703125" style="49" customWidth="1"/>
    <col min="5" max="5" width="21.85546875" style="49" customWidth="1"/>
    <col min="6" max="6" width="29" style="49" customWidth="1"/>
    <col min="7" max="7" width="17" style="49" customWidth="1"/>
    <col min="8" max="8" width="16.85546875" style="49" customWidth="1"/>
    <col min="9" max="9" width="17.7109375" style="49" customWidth="1"/>
    <col min="10" max="10" width="27.28515625" style="49" customWidth="1"/>
    <col min="11" max="11" width="17.7109375" style="49" customWidth="1"/>
    <col min="12" max="12" width="17.140625" style="49" customWidth="1"/>
    <col min="13" max="13" width="17" style="49" customWidth="1"/>
    <col min="14" max="14" width="16.5703125" style="49" customWidth="1"/>
    <col min="15" max="15" width="60.85546875" style="49" customWidth="1"/>
    <col min="16" max="16" width="15.5703125" style="49" customWidth="1"/>
    <col min="17" max="16384" width="9.140625" style="49"/>
  </cols>
  <sheetData>
    <row r="2" spans="2:16" x14ac:dyDescent="0.25">
      <c r="I2" s="71"/>
      <c r="J2" s="71"/>
    </row>
    <row r="3" spans="2:16" ht="12.75" customHeight="1" x14ac:dyDescent="0.25">
      <c r="I3" s="71"/>
      <c r="J3" s="71"/>
    </row>
    <row r="4" spans="2:16" ht="42.75" customHeight="1" x14ac:dyDescent="0.25">
      <c r="B4" s="72" t="s">
        <v>15</v>
      </c>
      <c r="C4" s="72"/>
      <c r="D4" s="72"/>
      <c r="E4" s="72"/>
      <c r="F4" s="72"/>
      <c r="G4" s="72"/>
      <c r="H4" s="72"/>
      <c r="I4" s="72"/>
      <c r="J4" s="72"/>
      <c r="K4" s="2"/>
      <c r="L4" s="2"/>
      <c r="M4" s="2"/>
      <c r="N4" s="2"/>
      <c r="O4" s="2"/>
      <c r="P4" s="2"/>
    </row>
    <row r="5" spans="2:16" ht="21.75" customHeight="1" x14ac:dyDescent="0.25">
      <c r="B5" s="50"/>
      <c r="C5" s="50"/>
      <c r="D5" s="50"/>
      <c r="E5" s="72" t="s">
        <v>120</v>
      </c>
      <c r="F5" s="72"/>
      <c r="G5" s="72"/>
      <c r="H5" s="50"/>
      <c r="I5" s="50"/>
      <c r="J5" s="50"/>
      <c r="K5" s="2"/>
      <c r="L5" s="2"/>
      <c r="M5" s="2"/>
      <c r="N5" s="2"/>
      <c r="O5" s="2"/>
      <c r="P5" s="2"/>
    </row>
    <row r="6" spans="2:16" ht="15.75" customHeight="1" thickBot="1" x14ac:dyDescent="0.3"/>
    <row r="7" spans="2:16" ht="15.75" customHeight="1" x14ac:dyDescent="0.25">
      <c r="B7" s="76" t="s">
        <v>4</v>
      </c>
      <c r="C7" s="73" t="s">
        <v>0</v>
      </c>
      <c r="D7" s="73" t="s">
        <v>1</v>
      </c>
      <c r="E7" s="73" t="s">
        <v>2</v>
      </c>
      <c r="F7" s="73" t="s">
        <v>3</v>
      </c>
      <c r="G7" s="73" t="s">
        <v>5</v>
      </c>
      <c r="H7" s="73" t="s">
        <v>6</v>
      </c>
      <c r="I7" s="73" t="s">
        <v>8</v>
      </c>
      <c r="J7" s="74" t="s">
        <v>7</v>
      </c>
    </row>
    <row r="8" spans="2:16" ht="51.75" customHeight="1" x14ac:dyDescent="0.25">
      <c r="B8" s="77"/>
      <c r="C8" s="70"/>
      <c r="D8" s="70"/>
      <c r="E8" s="70"/>
      <c r="F8" s="70"/>
      <c r="G8" s="70"/>
      <c r="H8" s="70"/>
      <c r="I8" s="70"/>
      <c r="J8" s="75"/>
    </row>
    <row r="9" spans="2:16" ht="30" x14ac:dyDescent="0.25">
      <c r="B9" s="55">
        <v>1</v>
      </c>
      <c r="C9" s="53" t="s">
        <v>46</v>
      </c>
      <c r="D9" s="47" t="s">
        <v>14</v>
      </c>
      <c r="E9" s="54" t="s">
        <v>113</v>
      </c>
      <c r="F9" s="57" t="s">
        <v>45</v>
      </c>
      <c r="G9" s="66" t="s">
        <v>354</v>
      </c>
      <c r="H9" s="66" t="s">
        <v>386</v>
      </c>
      <c r="I9" s="57">
        <f>500*1.73*10.05*10</f>
        <v>86932.5</v>
      </c>
      <c r="J9" s="57" t="s">
        <v>193</v>
      </c>
    </row>
    <row r="10" spans="2:16" ht="45" x14ac:dyDescent="0.25">
      <c r="B10" s="55">
        <v>2</v>
      </c>
      <c r="C10" s="53" t="s">
        <v>46</v>
      </c>
      <c r="D10" s="47" t="s">
        <v>14</v>
      </c>
      <c r="E10" s="54" t="s">
        <v>113</v>
      </c>
      <c r="F10" s="57" t="s">
        <v>44</v>
      </c>
      <c r="G10" s="66" t="s">
        <v>355</v>
      </c>
      <c r="H10" s="66" t="s">
        <v>386</v>
      </c>
      <c r="I10" s="57">
        <f>100*1.73*1.83*10</f>
        <v>3165.9000000000005</v>
      </c>
      <c r="J10" s="57" t="s">
        <v>194</v>
      </c>
    </row>
    <row r="11" spans="2:16" ht="30" x14ac:dyDescent="0.25">
      <c r="B11" s="55">
        <v>3</v>
      </c>
      <c r="C11" s="53" t="s">
        <v>46</v>
      </c>
      <c r="D11" s="47" t="s">
        <v>14</v>
      </c>
      <c r="E11" s="47" t="s">
        <v>113</v>
      </c>
      <c r="F11" s="57" t="s">
        <v>42</v>
      </c>
      <c r="G11" s="66" t="s">
        <v>356</v>
      </c>
      <c r="H11" s="66" t="s">
        <v>387</v>
      </c>
      <c r="I11" s="57">
        <f>150*1.73*0.63*0.4</f>
        <v>65.394000000000005</v>
      </c>
      <c r="J11" s="57" t="s">
        <v>233</v>
      </c>
    </row>
    <row r="12" spans="2:16" ht="30" x14ac:dyDescent="0.25">
      <c r="B12" s="55">
        <v>4</v>
      </c>
      <c r="C12" s="53" t="s">
        <v>46</v>
      </c>
      <c r="D12" s="47" t="s">
        <v>14</v>
      </c>
      <c r="E12" s="47" t="s">
        <v>102</v>
      </c>
      <c r="F12" s="57" t="s">
        <v>43</v>
      </c>
      <c r="G12" s="66" t="s">
        <v>357</v>
      </c>
      <c r="H12" s="66" t="s">
        <v>388</v>
      </c>
      <c r="I12" s="57">
        <f>1000*1.73*3.05*0.4</f>
        <v>2110.6</v>
      </c>
      <c r="J12" s="57" t="s">
        <v>192</v>
      </c>
    </row>
    <row r="13" spans="2:16" ht="30" x14ac:dyDescent="0.25">
      <c r="B13" s="55">
        <v>5</v>
      </c>
      <c r="C13" s="53" t="s">
        <v>46</v>
      </c>
      <c r="D13" s="47" t="s">
        <v>14</v>
      </c>
      <c r="E13" s="47" t="s">
        <v>105</v>
      </c>
      <c r="F13" s="57" t="s">
        <v>16</v>
      </c>
      <c r="G13" s="66" t="s">
        <v>358</v>
      </c>
      <c r="H13" s="66" t="s">
        <v>389</v>
      </c>
      <c r="I13" s="57">
        <f>150*1.73*1.883*0.4</f>
        <v>195.45540000000003</v>
      </c>
      <c r="J13" s="57" t="s">
        <v>231</v>
      </c>
    </row>
    <row r="14" spans="2:16" ht="30" x14ac:dyDescent="0.25">
      <c r="B14" s="55">
        <v>6</v>
      </c>
      <c r="C14" s="53" t="s">
        <v>46</v>
      </c>
      <c r="D14" s="47" t="s">
        <v>14</v>
      </c>
      <c r="E14" s="47" t="s">
        <v>105</v>
      </c>
      <c r="F14" s="57" t="s">
        <v>38</v>
      </c>
      <c r="G14" s="66" t="s">
        <v>359</v>
      </c>
      <c r="H14" s="66" t="s">
        <v>390</v>
      </c>
      <c r="I14" s="57">
        <f>150*1.73*4.53*0.4</f>
        <v>470.21400000000006</v>
      </c>
      <c r="J14" s="57" t="s">
        <v>195</v>
      </c>
    </row>
    <row r="15" spans="2:16" ht="30" x14ac:dyDescent="0.25">
      <c r="B15" s="55">
        <v>7</v>
      </c>
      <c r="C15" s="53" t="s">
        <v>46</v>
      </c>
      <c r="D15" s="47" t="s">
        <v>14</v>
      </c>
      <c r="E15" s="47" t="s">
        <v>105</v>
      </c>
      <c r="F15" s="57" t="s">
        <v>39</v>
      </c>
      <c r="G15" s="66" t="s">
        <v>360</v>
      </c>
      <c r="H15" s="66" t="s">
        <v>391</v>
      </c>
      <c r="I15" s="57">
        <f>150*1.73*2.4*0.4</f>
        <v>249.12</v>
      </c>
      <c r="J15" s="57" t="s">
        <v>177</v>
      </c>
    </row>
    <row r="16" spans="2:16" ht="30" x14ac:dyDescent="0.25">
      <c r="B16" s="55">
        <v>8</v>
      </c>
      <c r="C16" s="53" t="s">
        <v>46</v>
      </c>
      <c r="D16" s="47" t="s">
        <v>14</v>
      </c>
      <c r="E16" s="47" t="s">
        <v>105</v>
      </c>
      <c r="F16" s="57" t="s">
        <v>41</v>
      </c>
      <c r="G16" s="66" t="s">
        <v>361</v>
      </c>
      <c r="H16" s="66" t="s">
        <v>392</v>
      </c>
      <c r="I16" s="57">
        <f>150*1.73*3.8*0.4</f>
        <v>394.44</v>
      </c>
      <c r="J16" s="57" t="s">
        <v>177</v>
      </c>
    </row>
    <row r="17" spans="2:11" ht="30" x14ac:dyDescent="0.25">
      <c r="B17" s="55">
        <v>9</v>
      </c>
      <c r="C17" s="53" t="s">
        <v>46</v>
      </c>
      <c r="D17" s="47" t="s">
        <v>14</v>
      </c>
      <c r="E17" s="47" t="s">
        <v>105</v>
      </c>
      <c r="F17" s="57" t="s">
        <v>40</v>
      </c>
      <c r="G17" s="66" t="s">
        <v>362</v>
      </c>
      <c r="H17" s="66" t="s">
        <v>393</v>
      </c>
      <c r="I17" s="57">
        <f>150*1.73*1.38*0.4</f>
        <v>143.244</v>
      </c>
      <c r="J17" s="57" t="s">
        <v>196</v>
      </c>
    </row>
    <row r="18" spans="2:11" ht="30" x14ac:dyDescent="0.25">
      <c r="B18" s="55">
        <v>10</v>
      </c>
      <c r="C18" s="53" t="s">
        <v>46</v>
      </c>
      <c r="D18" s="47" t="s">
        <v>14</v>
      </c>
      <c r="E18" s="47" t="s">
        <v>121</v>
      </c>
      <c r="F18" s="57" t="s">
        <v>37</v>
      </c>
      <c r="G18" s="66" t="s">
        <v>363</v>
      </c>
      <c r="H18" s="66" t="s">
        <v>394</v>
      </c>
      <c r="I18" s="57">
        <f>120*1.73*1.266*10</f>
        <v>2628.2159999999999</v>
      </c>
      <c r="J18" s="60" t="s">
        <v>176</v>
      </c>
    </row>
    <row r="19" spans="2:11" ht="30" x14ac:dyDescent="0.25">
      <c r="B19" s="55">
        <v>11</v>
      </c>
      <c r="C19" s="53" t="s">
        <v>46</v>
      </c>
      <c r="D19" s="47" t="s">
        <v>14</v>
      </c>
      <c r="E19" s="47" t="s">
        <v>105</v>
      </c>
      <c r="F19" s="57" t="s">
        <v>36</v>
      </c>
      <c r="G19" s="66" t="s">
        <v>364</v>
      </c>
      <c r="H19" s="66" t="s">
        <v>395</v>
      </c>
      <c r="I19" s="57">
        <f>150*1.73*0.483*0.4</f>
        <v>50.135400000000004</v>
      </c>
      <c r="J19" s="57" t="s">
        <v>197</v>
      </c>
      <c r="K19" s="48"/>
    </row>
    <row r="20" spans="2:11" ht="30" x14ac:dyDescent="0.25">
      <c r="B20" s="55">
        <v>12</v>
      </c>
      <c r="C20" s="53" t="s">
        <v>46</v>
      </c>
      <c r="D20" s="47" t="s">
        <v>14</v>
      </c>
      <c r="E20" s="47" t="s">
        <v>123</v>
      </c>
      <c r="F20" s="57" t="s">
        <v>22</v>
      </c>
      <c r="G20" s="66" t="s">
        <v>365</v>
      </c>
      <c r="H20" s="66" t="s">
        <v>396</v>
      </c>
      <c r="I20" s="57">
        <f>150*1.73*6.15*0.4</f>
        <v>638.37000000000012</v>
      </c>
      <c r="J20" s="57" t="s">
        <v>177</v>
      </c>
    </row>
    <row r="21" spans="2:11" ht="45" x14ac:dyDescent="0.25">
      <c r="B21" s="55">
        <v>13</v>
      </c>
      <c r="C21" s="53" t="s">
        <v>46</v>
      </c>
      <c r="D21" s="47" t="s">
        <v>14</v>
      </c>
      <c r="E21" s="47" t="s">
        <v>122</v>
      </c>
      <c r="F21" s="57" t="s">
        <v>35</v>
      </c>
      <c r="G21" s="66" t="s">
        <v>366</v>
      </c>
      <c r="H21" s="66" t="s">
        <v>397</v>
      </c>
      <c r="I21" s="57">
        <f>200*1.73*0.22*10</f>
        <v>761.2</v>
      </c>
      <c r="J21" s="57" t="s">
        <v>198</v>
      </c>
    </row>
    <row r="22" spans="2:11" ht="30" x14ac:dyDescent="0.25">
      <c r="B22" s="55">
        <v>14</v>
      </c>
      <c r="C22" s="53" t="s">
        <v>46</v>
      </c>
      <c r="D22" s="47" t="s">
        <v>14</v>
      </c>
      <c r="E22" s="47" t="s">
        <v>122</v>
      </c>
      <c r="F22" s="57" t="s">
        <v>34</v>
      </c>
      <c r="G22" s="66" t="s">
        <v>367</v>
      </c>
      <c r="H22" s="66" t="s">
        <v>398</v>
      </c>
      <c r="I22" s="57">
        <f>200*1.73*1.62*10</f>
        <v>5605.2</v>
      </c>
      <c r="J22" s="60" t="s">
        <v>176</v>
      </c>
    </row>
    <row r="23" spans="2:11" ht="30" x14ac:dyDescent="0.25">
      <c r="B23" s="55">
        <v>15</v>
      </c>
      <c r="C23" s="53" t="s">
        <v>46</v>
      </c>
      <c r="D23" s="47" t="s">
        <v>14</v>
      </c>
      <c r="E23" s="47" t="s">
        <v>122</v>
      </c>
      <c r="F23" s="57" t="s">
        <v>31</v>
      </c>
      <c r="G23" s="66" t="s">
        <v>368</v>
      </c>
      <c r="H23" s="66" t="s">
        <v>399</v>
      </c>
      <c r="I23" s="57">
        <f>250*1.73*0.75*0.4</f>
        <v>129.75</v>
      </c>
      <c r="J23" s="57" t="s">
        <v>180</v>
      </c>
    </row>
    <row r="24" spans="2:11" ht="30" x14ac:dyDescent="0.25">
      <c r="B24" s="55">
        <v>16</v>
      </c>
      <c r="C24" s="53" t="s">
        <v>46</v>
      </c>
      <c r="D24" s="47" t="s">
        <v>14</v>
      </c>
      <c r="E24" s="47" t="s">
        <v>105</v>
      </c>
      <c r="F24" s="57" t="s">
        <v>33</v>
      </c>
      <c r="G24" s="66" t="s">
        <v>369</v>
      </c>
      <c r="H24" s="66" t="s">
        <v>400</v>
      </c>
      <c r="I24" s="57">
        <f>500*1.73*4.2*0.4</f>
        <v>1453.2</v>
      </c>
      <c r="J24" s="57" t="s">
        <v>199</v>
      </c>
    </row>
    <row r="25" spans="2:11" ht="30" x14ac:dyDescent="0.25">
      <c r="B25" s="55">
        <v>17</v>
      </c>
      <c r="C25" s="53" t="s">
        <v>46</v>
      </c>
      <c r="D25" s="47" t="s">
        <v>14</v>
      </c>
      <c r="E25" s="54" t="s">
        <v>105</v>
      </c>
      <c r="F25" s="57" t="s">
        <v>32</v>
      </c>
      <c r="G25" s="66" t="s">
        <v>370</v>
      </c>
      <c r="H25" s="66" t="s">
        <v>401</v>
      </c>
      <c r="I25" s="57">
        <f>500*1.73*0.22*0.4</f>
        <v>76.12</v>
      </c>
      <c r="J25" s="57" t="s">
        <v>197</v>
      </c>
    </row>
    <row r="26" spans="2:11" ht="30" x14ac:dyDescent="0.25">
      <c r="B26" s="55">
        <v>18</v>
      </c>
      <c r="C26" s="53" t="s">
        <v>46</v>
      </c>
      <c r="D26" s="47" t="s">
        <v>14</v>
      </c>
      <c r="E26" s="47" t="s">
        <v>122</v>
      </c>
      <c r="F26" s="57" t="s">
        <v>31</v>
      </c>
      <c r="G26" s="66" t="s">
        <v>371</v>
      </c>
      <c r="H26" s="66" t="s">
        <v>402</v>
      </c>
      <c r="I26" s="57">
        <f>250*1.73*1.75*0.4</f>
        <v>302.75</v>
      </c>
      <c r="J26" s="60" t="s">
        <v>180</v>
      </c>
    </row>
    <row r="27" spans="2:11" ht="30" x14ac:dyDescent="0.25">
      <c r="B27" s="55">
        <v>19</v>
      </c>
      <c r="C27" s="53" t="s">
        <v>46</v>
      </c>
      <c r="D27" s="47" t="s">
        <v>14</v>
      </c>
      <c r="E27" s="47" t="s">
        <v>122</v>
      </c>
      <c r="F27" s="57" t="s">
        <v>30</v>
      </c>
      <c r="G27" s="66" t="s">
        <v>372</v>
      </c>
      <c r="H27" s="66" t="s">
        <v>403</v>
      </c>
      <c r="I27" s="62">
        <f>250*1.73*1.13*0.4</f>
        <v>195.49</v>
      </c>
      <c r="J27" s="64" t="s">
        <v>232</v>
      </c>
    </row>
    <row r="28" spans="2:11" ht="90" x14ac:dyDescent="0.25">
      <c r="B28" s="55">
        <v>20</v>
      </c>
      <c r="C28" s="53" t="s">
        <v>46</v>
      </c>
      <c r="D28" s="47" t="s">
        <v>14</v>
      </c>
      <c r="E28" s="47" t="s">
        <v>102</v>
      </c>
      <c r="F28" s="57" t="s">
        <v>29</v>
      </c>
      <c r="G28" s="66" t="s">
        <v>373</v>
      </c>
      <c r="H28" s="66" t="s">
        <v>404</v>
      </c>
      <c r="I28" s="57">
        <f>250*1.73*0.983*10</f>
        <v>4251.4749999999995</v>
      </c>
      <c r="J28" s="61" t="s">
        <v>200</v>
      </c>
    </row>
    <row r="29" spans="2:11" ht="90" x14ac:dyDescent="0.25">
      <c r="B29" s="55">
        <v>21</v>
      </c>
      <c r="C29" s="53" t="s">
        <v>46</v>
      </c>
      <c r="D29" s="47" t="s">
        <v>14</v>
      </c>
      <c r="E29" s="47" t="s">
        <v>102</v>
      </c>
      <c r="F29" s="57" t="s">
        <v>29</v>
      </c>
      <c r="G29" s="66" t="s">
        <v>373</v>
      </c>
      <c r="H29" s="66" t="s">
        <v>405</v>
      </c>
      <c r="I29" s="57">
        <f>250*1.73*4.516*10</f>
        <v>19531.7</v>
      </c>
      <c r="J29" s="57" t="s">
        <v>200</v>
      </c>
    </row>
    <row r="30" spans="2:11" ht="45" x14ac:dyDescent="0.25">
      <c r="B30" s="55">
        <v>22</v>
      </c>
      <c r="C30" s="53" t="s">
        <v>46</v>
      </c>
      <c r="D30" s="47" t="s">
        <v>14</v>
      </c>
      <c r="E30" s="54" t="s">
        <v>105</v>
      </c>
      <c r="F30" s="57" t="s">
        <v>28</v>
      </c>
      <c r="G30" s="66" t="s">
        <v>374</v>
      </c>
      <c r="H30" s="66" t="s">
        <v>406</v>
      </c>
      <c r="I30" s="57">
        <f>100*1.73*3.266*10</f>
        <v>5650.18</v>
      </c>
      <c r="J30" s="57" t="s">
        <v>201</v>
      </c>
    </row>
    <row r="31" spans="2:11" ht="30" x14ac:dyDescent="0.25">
      <c r="B31" s="55">
        <v>23</v>
      </c>
      <c r="C31" s="53" t="s">
        <v>46</v>
      </c>
      <c r="D31" s="47" t="s">
        <v>14</v>
      </c>
      <c r="E31" s="54" t="s">
        <v>105</v>
      </c>
      <c r="F31" s="57" t="s">
        <v>27</v>
      </c>
      <c r="G31" s="66" t="s">
        <v>375</v>
      </c>
      <c r="H31" s="66" t="s">
        <v>407</v>
      </c>
      <c r="I31" s="57">
        <f>150*1.73*0.683*0.4</f>
        <v>70.895400000000009</v>
      </c>
      <c r="J31" s="57" t="s">
        <v>195</v>
      </c>
    </row>
    <row r="32" spans="2:11" ht="30" x14ac:dyDescent="0.25">
      <c r="B32" s="55">
        <v>24</v>
      </c>
      <c r="C32" s="53" t="s">
        <v>46</v>
      </c>
      <c r="D32" s="47" t="s">
        <v>14</v>
      </c>
      <c r="E32" s="54" t="s">
        <v>105</v>
      </c>
      <c r="F32" s="57" t="s">
        <v>26</v>
      </c>
      <c r="G32" s="66" t="s">
        <v>376</v>
      </c>
      <c r="H32" s="66" t="s">
        <v>408</v>
      </c>
      <c r="I32" s="57">
        <f>150*1.73*1.016*0.4</f>
        <v>105.46080000000001</v>
      </c>
      <c r="J32" s="57" t="s">
        <v>177</v>
      </c>
    </row>
    <row r="33" spans="2:10" ht="30" x14ac:dyDescent="0.25">
      <c r="B33" s="55">
        <v>25</v>
      </c>
      <c r="C33" s="53" t="s">
        <v>46</v>
      </c>
      <c r="D33" s="47" t="s">
        <v>14</v>
      </c>
      <c r="E33" s="54" t="s">
        <v>105</v>
      </c>
      <c r="F33" s="57" t="s">
        <v>25</v>
      </c>
      <c r="G33" s="66" t="s">
        <v>377</v>
      </c>
      <c r="H33" s="66" t="s">
        <v>409</v>
      </c>
      <c r="I33" s="57">
        <f>150*1.73*0.633</f>
        <v>164.26349999999999</v>
      </c>
      <c r="J33" s="57" t="s">
        <v>195</v>
      </c>
    </row>
    <row r="34" spans="2:10" ht="30" x14ac:dyDescent="0.25">
      <c r="B34" s="55">
        <v>26</v>
      </c>
      <c r="C34" s="53" t="s">
        <v>46</v>
      </c>
      <c r="D34" s="47" t="s">
        <v>14</v>
      </c>
      <c r="E34" s="54" t="s">
        <v>105</v>
      </c>
      <c r="F34" s="57" t="s">
        <v>24</v>
      </c>
      <c r="G34" s="66" t="s">
        <v>378</v>
      </c>
      <c r="H34" s="66" t="s">
        <v>410</v>
      </c>
      <c r="I34" s="57">
        <f>150*1.73*0.6</f>
        <v>155.69999999999999</v>
      </c>
      <c r="J34" s="57" t="s">
        <v>195</v>
      </c>
    </row>
    <row r="35" spans="2:10" ht="30" x14ac:dyDescent="0.25">
      <c r="B35" s="55">
        <v>27</v>
      </c>
      <c r="C35" s="53" t="s">
        <v>46</v>
      </c>
      <c r="D35" s="47" t="s">
        <v>14</v>
      </c>
      <c r="E35" s="54" t="s">
        <v>105</v>
      </c>
      <c r="F35" s="57" t="s">
        <v>23</v>
      </c>
      <c r="G35" s="66" t="s">
        <v>379</v>
      </c>
      <c r="H35" s="66" t="s">
        <v>411</v>
      </c>
      <c r="I35" s="57">
        <f>150*1.73*0.966</f>
        <v>250.67699999999999</v>
      </c>
      <c r="J35" s="57" t="s">
        <v>195</v>
      </c>
    </row>
    <row r="36" spans="2:10" ht="30" x14ac:dyDescent="0.25">
      <c r="B36" s="55">
        <v>28</v>
      </c>
      <c r="C36" s="53" t="s">
        <v>46</v>
      </c>
      <c r="D36" s="47" t="s">
        <v>14</v>
      </c>
      <c r="E36" s="47" t="s">
        <v>123</v>
      </c>
      <c r="F36" s="57" t="s">
        <v>22</v>
      </c>
      <c r="G36" s="66" t="s">
        <v>380</v>
      </c>
      <c r="H36" s="66" t="s">
        <v>412</v>
      </c>
      <c r="I36" s="57">
        <f>150*1.73*0.95</f>
        <v>246.52499999999998</v>
      </c>
      <c r="J36" s="57" t="s">
        <v>177</v>
      </c>
    </row>
    <row r="37" spans="2:10" ht="30" x14ac:dyDescent="0.25">
      <c r="B37" s="55">
        <v>29</v>
      </c>
      <c r="C37" s="53" t="s">
        <v>46</v>
      </c>
      <c r="D37" s="47" t="s">
        <v>14</v>
      </c>
      <c r="E37" s="54" t="s">
        <v>105</v>
      </c>
      <c r="F37" s="57" t="s">
        <v>21</v>
      </c>
      <c r="G37" s="66" t="s">
        <v>381</v>
      </c>
      <c r="H37" s="66" t="s">
        <v>413</v>
      </c>
      <c r="I37" s="57">
        <f>200*1.73*4.53</f>
        <v>1567.38</v>
      </c>
      <c r="J37" s="57" t="s">
        <v>202</v>
      </c>
    </row>
    <row r="38" spans="2:10" ht="30" x14ac:dyDescent="0.25">
      <c r="B38" s="55">
        <v>30</v>
      </c>
      <c r="C38" s="53" t="s">
        <v>46</v>
      </c>
      <c r="D38" s="47" t="s">
        <v>14</v>
      </c>
      <c r="E38" s="54" t="s">
        <v>105</v>
      </c>
      <c r="F38" s="57" t="s">
        <v>20</v>
      </c>
      <c r="G38" s="66" t="s">
        <v>382</v>
      </c>
      <c r="H38" s="66" t="s">
        <v>414</v>
      </c>
      <c r="I38" s="57">
        <f>150*1.73*0.78</f>
        <v>202.41</v>
      </c>
      <c r="J38" s="57" t="s">
        <v>177</v>
      </c>
    </row>
    <row r="39" spans="2:10" ht="30" x14ac:dyDescent="0.25">
      <c r="B39" s="55">
        <v>31</v>
      </c>
      <c r="C39" s="53" t="s">
        <v>46</v>
      </c>
      <c r="D39" s="47" t="s">
        <v>14</v>
      </c>
      <c r="E39" s="54" t="s">
        <v>105</v>
      </c>
      <c r="F39" s="57" t="s">
        <v>19</v>
      </c>
      <c r="G39" s="66" t="s">
        <v>383</v>
      </c>
      <c r="H39" s="66" t="s">
        <v>415</v>
      </c>
      <c r="I39" s="57">
        <f>150*1.73*2.683</f>
        <v>696.23849999999993</v>
      </c>
      <c r="J39" s="57" t="s">
        <v>203</v>
      </c>
    </row>
    <row r="40" spans="2:10" ht="30" x14ac:dyDescent="0.25">
      <c r="B40" s="55">
        <v>32</v>
      </c>
      <c r="C40" s="53" t="s">
        <v>46</v>
      </c>
      <c r="D40" s="47" t="s">
        <v>14</v>
      </c>
      <c r="E40" s="54" t="s">
        <v>105</v>
      </c>
      <c r="F40" s="57" t="s">
        <v>17</v>
      </c>
      <c r="G40" s="66" t="s">
        <v>384</v>
      </c>
      <c r="H40" s="66" t="s">
        <v>416</v>
      </c>
      <c r="I40" s="57">
        <f>150*1.73*2.316</f>
        <v>601.00199999999995</v>
      </c>
      <c r="J40" s="57" t="s">
        <v>204</v>
      </c>
    </row>
    <row r="41" spans="2:10" ht="45" x14ac:dyDescent="0.25">
      <c r="B41" s="55">
        <v>33</v>
      </c>
      <c r="C41" s="53" t="s">
        <v>46</v>
      </c>
      <c r="D41" s="47" t="s">
        <v>14</v>
      </c>
      <c r="E41" s="54" t="s">
        <v>105</v>
      </c>
      <c r="F41" s="57" t="s">
        <v>18</v>
      </c>
      <c r="G41" s="66" t="s">
        <v>385</v>
      </c>
      <c r="H41" s="66" t="s">
        <v>417</v>
      </c>
      <c r="I41" s="57">
        <f>150*1.73*0.55</f>
        <v>142.72500000000002</v>
      </c>
      <c r="J41" s="57" t="s">
        <v>205</v>
      </c>
    </row>
    <row r="42" spans="2:10" ht="22.5" customHeight="1" thickBot="1" x14ac:dyDescent="0.3">
      <c r="G42" s="65"/>
      <c r="H42" s="22" t="s">
        <v>9</v>
      </c>
      <c r="I42" s="23">
        <f>SUM(I9:I41)</f>
        <v>139203.93100000004</v>
      </c>
      <c r="J42" s="10"/>
    </row>
    <row r="43" spans="2:10" ht="22.5" customHeight="1" x14ac:dyDescent="0.25">
      <c r="H43" s="51"/>
      <c r="I43" s="52"/>
      <c r="J43" s="10"/>
    </row>
  </sheetData>
  <mergeCells count="13">
    <mergeCell ref="H7:H8"/>
    <mergeCell ref="I7:I8"/>
    <mergeCell ref="J7:J8"/>
    <mergeCell ref="I2:J2"/>
    <mergeCell ref="I3:J3"/>
    <mergeCell ref="B4:J4"/>
    <mergeCell ref="E5:G5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8"/>
  <sheetViews>
    <sheetView topLeftCell="A43" workbookViewId="0">
      <selection activeCell="C8" sqref="C8:K47"/>
    </sheetView>
  </sheetViews>
  <sheetFormatPr defaultColWidth="9.140625" defaultRowHeight="15" x14ac:dyDescent="0.25"/>
  <cols>
    <col min="1" max="1" width="9.140625" style="49"/>
    <col min="2" max="2" width="5.5703125" style="49" customWidth="1"/>
    <col min="3" max="3" width="5.42578125" style="49" customWidth="1"/>
    <col min="4" max="4" width="15.5703125" style="49" customWidth="1"/>
    <col min="5" max="5" width="21.85546875" style="49" customWidth="1"/>
    <col min="6" max="6" width="29" style="49" customWidth="1"/>
    <col min="7" max="7" width="28.140625" style="49" customWidth="1"/>
    <col min="8" max="8" width="16.85546875" style="49" customWidth="1"/>
    <col min="9" max="9" width="17.7109375" style="49" customWidth="1"/>
    <col min="10" max="10" width="27.28515625" style="49" customWidth="1"/>
    <col min="11" max="11" width="24" style="49" customWidth="1"/>
    <col min="12" max="12" width="17" style="49" customWidth="1"/>
    <col min="13" max="13" width="16.5703125" style="49" customWidth="1"/>
    <col min="14" max="14" width="60.85546875" style="49" customWidth="1"/>
    <col min="15" max="15" width="15.5703125" style="49" customWidth="1"/>
    <col min="16" max="16384" width="9.140625" style="49"/>
  </cols>
  <sheetData>
    <row r="2" spans="2:15" x14ac:dyDescent="0.25">
      <c r="I2" s="71"/>
      <c r="J2" s="71"/>
    </row>
    <row r="3" spans="2:15" ht="12.75" customHeight="1" x14ac:dyDescent="0.25">
      <c r="I3" s="71"/>
      <c r="J3" s="71"/>
    </row>
    <row r="4" spans="2:15" ht="42.75" customHeight="1" x14ac:dyDescent="0.25">
      <c r="B4" s="72" t="s">
        <v>15</v>
      </c>
      <c r="C4" s="72"/>
      <c r="D4" s="72"/>
      <c r="E4" s="72"/>
      <c r="F4" s="72"/>
      <c r="G4" s="72"/>
      <c r="H4" s="72"/>
      <c r="I4" s="72"/>
      <c r="J4" s="72"/>
      <c r="K4" s="2"/>
      <c r="L4" s="2"/>
      <c r="M4" s="2"/>
      <c r="N4" s="2"/>
      <c r="O4" s="2"/>
    </row>
    <row r="5" spans="2:15" ht="21.75" customHeight="1" x14ac:dyDescent="0.25">
      <c r="B5" s="50"/>
      <c r="C5" s="50"/>
      <c r="D5" s="50"/>
      <c r="E5" s="72" t="s">
        <v>124</v>
      </c>
      <c r="F5" s="72"/>
      <c r="G5" s="72"/>
      <c r="H5" s="50"/>
      <c r="I5" s="50"/>
      <c r="J5" s="50"/>
      <c r="K5" s="2"/>
      <c r="L5" s="2"/>
      <c r="M5" s="2"/>
      <c r="N5" s="2"/>
      <c r="O5" s="2"/>
    </row>
    <row r="6" spans="2:15" ht="15.75" customHeight="1" x14ac:dyDescent="0.25"/>
    <row r="7" spans="2:15" ht="15.75" customHeight="1" thickBot="1" x14ac:dyDescent="0.3"/>
    <row r="8" spans="2:15" ht="51.75" customHeight="1" x14ac:dyDescent="0.25">
      <c r="C8" s="76" t="s">
        <v>4</v>
      </c>
      <c r="D8" s="73" t="s">
        <v>0</v>
      </c>
      <c r="E8" s="73" t="s">
        <v>1</v>
      </c>
      <c r="F8" s="73" t="s">
        <v>2</v>
      </c>
      <c r="G8" s="73" t="s">
        <v>3</v>
      </c>
      <c r="H8" s="73" t="s">
        <v>5</v>
      </c>
      <c r="I8" s="73" t="s">
        <v>6</v>
      </c>
      <c r="J8" s="73" t="s">
        <v>8</v>
      </c>
      <c r="K8" s="74" t="s">
        <v>7</v>
      </c>
    </row>
    <row r="9" spans="2:15" x14ac:dyDescent="0.25">
      <c r="C9" s="77"/>
      <c r="D9" s="70"/>
      <c r="E9" s="70"/>
      <c r="F9" s="70"/>
      <c r="G9" s="70"/>
      <c r="H9" s="70"/>
      <c r="I9" s="70"/>
      <c r="J9" s="70"/>
      <c r="K9" s="75"/>
    </row>
    <row r="10" spans="2:15" ht="30" x14ac:dyDescent="0.25">
      <c r="C10" s="55">
        <v>1</v>
      </c>
      <c r="D10" s="58" t="s">
        <v>46</v>
      </c>
      <c r="E10" s="47" t="s">
        <v>14</v>
      </c>
      <c r="F10" s="54" t="s">
        <v>162</v>
      </c>
      <c r="G10" s="57" t="s">
        <v>125</v>
      </c>
      <c r="H10" s="67" t="s">
        <v>418</v>
      </c>
      <c r="I10" s="66" t="s">
        <v>455</v>
      </c>
      <c r="J10" s="58">
        <f>100*1.73*3.283*10</f>
        <v>5679.5899999999992</v>
      </c>
      <c r="K10" s="63" t="s">
        <v>220</v>
      </c>
    </row>
    <row r="11" spans="2:15" ht="45" x14ac:dyDescent="0.25">
      <c r="C11" s="55">
        <v>2</v>
      </c>
      <c r="D11" s="58" t="s">
        <v>46</v>
      </c>
      <c r="E11" s="47" t="s">
        <v>14</v>
      </c>
      <c r="F11" s="54" t="s">
        <v>105</v>
      </c>
      <c r="G11" s="57" t="s">
        <v>126</v>
      </c>
      <c r="H11" s="66" t="s">
        <v>419</v>
      </c>
      <c r="I11" s="68" t="s">
        <v>456</v>
      </c>
      <c r="J11" s="58">
        <f>200*1.73*1.216*10</f>
        <v>4207.3599999999997</v>
      </c>
      <c r="K11" s="63" t="s">
        <v>219</v>
      </c>
    </row>
    <row r="12" spans="2:15" ht="30" x14ac:dyDescent="0.25">
      <c r="C12" s="55">
        <v>3</v>
      </c>
      <c r="D12" s="58" t="s">
        <v>46</v>
      </c>
      <c r="E12" s="47" t="s">
        <v>14</v>
      </c>
      <c r="F12" s="47" t="s">
        <v>122</v>
      </c>
      <c r="G12" s="57" t="s">
        <v>127</v>
      </c>
      <c r="H12" s="66" t="s">
        <v>420</v>
      </c>
      <c r="I12" s="68" t="s">
        <v>457</v>
      </c>
      <c r="J12" s="58">
        <f>300*1.73*6.833*10</f>
        <v>35463.270000000004</v>
      </c>
      <c r="K12" s="63" t="s">
        <v>218</v>
      </c>
    </row>
    <row r="13" spans="2:15" ht="69.75" customHeight="1" x14ac:dyDescent="0.25">
      <c r="C13" s="55">
        <v>4</v>
      </c>
      <c r="D13" s="58" t="s">
        <v>46</v>
      </c>
      <c r="E13" s="47" t="s">
        <v>14</v>
      </c>
      <c r="F13" s="47" t="s">
        <v>161</v>
      </c>
      <c r="G13" s="57" t="s">
        <v>128</v>
      </c>
      <c r="H13" s="66" t="s">
        <v>421</v>
      </c>
      <c r="I13" s="66" t="s">
        <v>425</v>
      </c>
      <c r="J13" s="58">
        <f>100*1.73*2.066*10</f>
        <v>3574.1799999999994</v>
      </c>
      <c r="K13" s="63" t="s">
        <v>217</v>
      </c>
    </row>
    <row r="14" spans="2:15" ht="30" x14ac:dyDescent="0.25">
      <c r="C14" s="55">
        <v>6</v>
      </c>
      <c r="D14" s="58" t="s">
        <v>46</v>
      </c>
      <c r="E14" s="47" t="s">
        <v>14</v>
      </c>
      <c r="F14" s="47" t="s">
        <v>163</v>
      </c>
      <c r="G14" s="57" t="s">
        <v>129</v>
      </c>
      <c r="H14" s="66" t="s">
        <v>422</v>
      </c>
      <c r="I14" s="68" t="s">
        <v>458</v>
      </c>
      <c r="J14" s="58">
        <f>100*1.73*0.9*10</f>
        <v>1557.0000000000002</v>
      </c>
      <c r="K14" s="63" t="s">
        <v>207</v>
      </c>
    </row>
    <row r="15" spans="2:15" ht="30" x14ac:dyDescent="0.25">
      <c r="C15" s="55">
        <v>7</v>
      </c>
      <c r="D15" s="58" t="s">
        <v>46</v>
      </c>
      <c r="E15" s="47" t="s">
        <v>14</v>
      </c>
      <c r="F15" s="47" t="s">
        <v>105</v>
      </c>
      <c r="G15" s="57" t="s">
        <v>130</v>
      </c>
      <c r="H15" s="66" t="s">
        <v>423</v>
      </c>
      <c r="I15" s="68" t="s">
        <v>459</v>
      </c>
      <c r="J15" s="58">
        <f>150*1.73*2.2*0.4</f>
        <v>228.36000000000004</v>
      </c>
      <c r="K15" s="63" t="s">
        <v>177</v>
      </c>
    </row>
    <row r="16" spans="2:15" ht="30" x14ac:dyDescent="0.25">
      <c r="C16" s="55">
        <v>8</v>
      </c>
      <c r="D16" s="58" t="s">
        <v>46</v>
      </c>
      <c r="E16" s="47" t="s">
        <v>14</v>
      </c>
      <c r="F16" s="47" t="s">
        <v>105</v>
      </c>
      <c r="G16" s="57" t="s">
        <v>131</v>
      </c>
      <c r="H16" s="66" t="s">
        <v>424</v>
      </c>
      <c r="I16" s="68" t="s">
        <v>460</v>
      </c>
      <c r="J16" s="58">
        <f>150*1.73*1.583*0.4</f>
        <v>164.31540000000001</v>
      </c>
      <c r="K16" s="63" t="s">
        <v>216</v>
      </c>
    </row>
    <row r="17" spans="3:11" ht="30" x14ac:dyDescent="0.25">
      <c r="C17" s="55">
        <v>9</v>
      </c>
      <c r="D17" s="58" t="s">
        <v>46</v>
      </c>
      <c r="E17" s="47" t="s">
        <v>14</v>
      </c>
      <c r="F17" s="47" t="s">
        <v>105</v>
      </c>
      <c r="G17" s="57" t="s">
        <v>132</v>
      </c>
      <c r="H17" s="66" t="s">
        <v>425</v>
      </c>
      <c r="I17" s="68" t="s">
        <v>424</v>
      </c>
      <c r="J17" s="58">
        <f>150*1.73*1.25*0.4</f>
        <v>129.75</v>
      </c>
      <c r="K17" s="63" t="s">
        <v>177</v>
      </c>
    </row>
    <row r="18" spans="3:11" ht="60" x14ac:dyDescent="0.25">
      <c r="C18" s="55">
        <v>13</v>
      </c>
      <c r="D18" s="58" t="s">
        <v>46</v>
      </c>
      <c r="E18" s="47" t="s">
        <v>14</v>
      </c>
      <c r="F18" s="47" t="s">
        <v>164</v>
      </c>
      <c r="G18" s="57" t="s">
        <v>133</v>
      </c>
      <c r="H18" s="66" t="s">
        <v>426</v>
      </c>
      <c r="I18" s="66" t="s">
        <v>461</v>
      </c>
      <c r="J18" s="58">
        <f>500*1.73*9.8*10</f>
        <v>84770</v>
      </c>
      <c r="K18" s="63" t="s">
        <v>227</v>
      </c>
    </row>
    <row r="19" spans="3:11" ht="30" x14ac:dyDescent="0.25">
      <c r="C19" s="55">
        <v>14</v>
      </c>
      <c r="D19" s="58" t="s">
        <v>46</v>
      </c>
      <c r="E19" s="47" t="s">
        <v>14</v>
      </c>
      <c r="F19" s="47" t="s">
        <v>105</v>
      </c>
      <c r="G19" s="57" t="s">
        <v>134</v>
      </c>
      <c r="H19" s="66" t="s">
        <v>427</v>
      </c>
      <c r="I19" s="68" t="s">
        <v>462</v>
      </c>
      <c r="J19" s="58">
        <f>150*1.73*3.416*0.4</f>
        <v>354.58080000000001</v>
      </c>
      <c r="K19" s="63" t="s">
        <v>177</v>
      </c>
    </row>
    <row r="20" spans="3:11" ht="30" x14ac:dyDescent="0.25">
      <c r="C20" s="55">
        <v>15</v>
      </c>
      <c r="D20" s="58" t="s">
        <v>46</v>
      </c>
      <c r="E20" s="47" t="s">
        <v>14</v>
      </c>
      <c r="F20" s="47" t="s">
        <v>105</v>
      </c>
      <c r="G20" s="57" t="s">
        <v>135</v>
      </c>
      <c r="H20" s="66" t="s">
        <v>428</v>
      </c>
      <c r="I20" s="68" t="s">
        <v>463</v>
      </c>
      <c r="J20" s="58">
        <f>150*1.73*0.983*0.4</f>
        <v>102.0354</v>
      </c>
      <c r="K20" s="63" t="s">
        <v>214</v>
      </c>
    </row>
    <row r="21" spans="3:11" ht="30" x14ac:dyDescent="0.25">
      <c r="C21" s="55">
        <v>16</v>
      </c>
      <c r="D21" s="58" t="s">
        <v>46</v>
      </c>
      <c r="E21" s="47" t="s">
        <v>14</v>
      </c>
      <c r="F21" s="47" t="s">
        <v>105</v>
      </c>
      <c r="G21" s="57" t="s">
        <v>136</v>
      </c>
      <c r="H21" s="66" t="s">
        <v>429</v>
      </c>
      <c r="I21" s="68" t="s">
        <v>464</v>
      </c>
      <c r="J21" s="58">
        <f>150*1.73*2.883*0.4</f>
        <v>299.25540000000001</v>
      </c>
      <c r="K21" s="63" t="s">
        <v>216</v>
      </c>
    </row>
    <row r="22" spans="3:11" ht="30" x14ac:dyDescent="0.25">
      <c r="C22" s="55">
        <v>17</v>
      </c>
      <c r="D22" s="58" t="s">
        <v>46</v>
      </c>
      <c r="E22" s="47" t="s">
        <v>14</v>
      </c>
      <c r="F22" s="47" t="s">
        <v>105</v>
      </c>
      <c r="G22" s="57" t="s">
        <v>137</v>
      </c>
      <c r="H22" s="66" t="s">
        <v>430</v>
      </c>
      <c r="I22" s="66" t="s">
        <v>465</v>
      </c>
      <c r="J22" s="58">
        <f>150*1.73*1.666*0.4</f>
        <v>172.9308</v>
      </c>
      <c r="K22" s="63" t="s">
        <v>177</v>
      </c>
    </row>
    <row r="23" spans="3:11" ht="30" x14ac:dyDescent="0.25">
      <c r="C23" s="55">
        <v>19</v>
      </c>
      <c r="D23" s="58" t="s">
        <v>46</v>
      </c>
      <c r="E23" s="47" t="s">
        <v>14</v>
      </c>
      <c r="F23" s="47" t="s">
        <v>105</v>
      </c>
      <c r="G23" s="57" t="s">
        <v>138</v>
      </c>
      <c r="H23" s="66" t="s">
        <v>431</v>
      </c>
      <c r="I23" s="66" t="s">
        <v>466</v>
      </c>
      <c r="J23" s="58">
        <f>150*1.73*4.616*0.4</f>
        <v>479.14079999999996</v>
      </c>
      <c r="K23" s="63" t="s">
        <v>209</v>
      </c>
    </row>
    <row r="24" spans="3:11" ht="60" x14ac:dyDescent="0.25">
      <c r="C24" s="55">
        <v>21</v>
      </c>
      <c r="D24" s="58" t="s">
        <v>46</v>
      </c>
      <c r="E24" s="47" t="s">
        <v>14</v>
      </c>
      <c r="F24" s="47" t="s">
        <v>110</v>
      </c>
      <c r="G24" s="57" t="s">
        <v>139</v>
      </c>
      <c r="H24" s="66" t="s">
        <v>432</v>
      </c>
      <c r="I24" s="68" t="s">
        <v>467</v>
      </c>
      <c r="J24" s="58">
        <f>100*1.73*1.566*10</f>
        <v>2709.1800000000003</v>
      </c>
      <c r="K24" s="63" t="s">
        <v>215</v>
      </c>
    </row>
    <row r="25" spans="3:11" ht="30" x14ac:dyDescent="0.25">
      <c r="C25" s="55">
        <v>22</v>
      </c>
      <c r="D25" s="58" t="s">
        <v>46</v>
      </c>
      <c r="E25" s="47" t="s">
        <v>14</v>
      </c>
      <c r="F25" s="47" t="s">
        <v>105</v>
      </c>
      <c r="G25" s="57" t="s">
        <v>140</v>
      </c>
      <c r="H25" s="66" t="s">
        <v>433</v>
      </c>
      <c r="I25" s="66" t="s">
        <v>468</v>
      </c>
      <c r="J25" s="58">
        <f>15*1.73*14.683*6</f>
        <v>2286.1430999999998</v>
      </c>
      <c r="K25" s="63" t="s">
        <v>226</v>
      </c>
    </row>
    <row r="26" spans="3:11" ht="30" x14ac:dyDescent="0.25">
      <c r="C26" s="55">
        <v>23</v>
      </c>
      <c r="D26" s="58" t="s">
        <v>46</v>
      </c>
      <c r="E26" s="47" t="s">
        <v>14</v>
      </c>
      <c r="F26" s="47" t="s">
        <v>105</v>
      </c>
      <c r="G26" s="57" t="s">
        <v>141</v>
      </c>
      <c r="H26" s="66" t="s">
        <v>434</v>
      </c>
      <c r="I26" s="68" t="s">
        <v>469</v>
      </c>
      <c r="J26" s="58">
        <f>150*1.73*2.15*0.4</f>
        <v>223.17</v>
      </c>
      <c r="K26" s="63" t="s">
        <v>214</v>
      </c>
    </row>
    <row r="27" spans="3:11" ht="30" x14ac:dyDescent="0.25">
      <c r="C27" s="55">
        <v>24</v>
      </c>
      <c r="D27" s="58" t="s">
        <v>46</v>
      </c>
      <c r="E27" s="47" t="s">
        <v>14</v>
      </c>
      <c r="F27" s="47" t="s">
        <v>105</v>
      </c>
      <c r="G27" s="57" t="s">
        <v>142</v>
      </c>
      <c r="H27" s="66" t="s">
        <v>435</v>
      </c>
      <c r="I27" s="68" t="s">
        <v>470</v>
      </c>
      <c r="J27" s="58">
        <f>150*1.73*2.72*0.4</f>
        <v>282.33600000000001</v>
      </c>
      <c r="K27" s="63" t="s">
        <v>214</v>
      </c>
    </row>
    <row r="28" spans="3:11" ht="31.5" customHeight="1" x14ac:dyDescent="0.25">
      <c r="C28" s="55">
        <v>25</v>
      </c>
      <c r="D28" s="58" t="s">
        <v>46</v>
      </c>
      <c r="E28" s="47" t="s">
        <v>14</v>
      </c>
      <c r="F28" s="47" t="s">
        <v>105</v>
      </c>
      <c r="G28" s="57" t="s">
        <v>143</v>
      </c>
      <c r="H28" s="66" t="s">
        <v>436</v>
      </c>
      <c r="I28" s="68" t="s">
        <v>471</v>
      </c>
      <c r="J28" s="58">
        <f>200*1.73*1.133*0.4</f>
        <v>156.80720000000002</v>
      </c>
      <c r="K28" s="63" t="s">
        <v>213</v>
      </c>
    </row>
    <row r="29" spans="3:11" ht="30" x14ac:dyDescent="0.25">
      <c r="C29" s="55">
        <v>29</v>
      </c>
      <c r="D29" s="58" t="s">
        <v>46</v>
      </c>
      <c r="E29" s="47" t="s">
        <v>14</v>
      </c>
      <c r="F29" s="47" t="s">
        <v>162</v>
      </c>
      <c r="G29" s="57" t="s">
        <v>144</v>
      </c>
      <c r="H29" s="66" t="s">
        <v>437</v>
      </c>
      <c r="I29" s="68" t="s">
        <v>472</v>
      </c>
      <c r="J29" s="58">
        <f>10*1.73*60*1.65</f>
        <v>1712.6999999999998</v>
      </c>
      <c r="K29" s="63"/>
    </row>
    <row r="30" spans="3:11" ht="30" x14ac:dyDescent="0.25">
      <c r="C30" s="55">
        <v>30</v>
      </c>
      <c r="D30" s="58" t="s">
        <v>46</v>
      </c>
      <c r="E30" s="47" t="s">
        <v>14</v>
      </c>
      <c r="F30" s="47" t="s">
        <v>105</v>
      </c>
      <c r="G30" s="57" t="s">
        <v>145</v>
      </c>
      <c r="H30" s="66" t="s">
        <v>438</v>
      </c>
      <c r="I30" s="68" t="s">
        <v>473</v>
      </c>
      <c r="J30" s="58">
        <f>10*20*1.73*2.75</f>
        <v>951.5</v>
      </c>
      <c r="K30" s="63" t="s">
        <v>209</v>
      </c>
    </row>
    <row r="31" spans="3:11" ht="30" x14ac:dyDescent="0.25">
      <c r="C31" s="55">
        <v>31</v>
      </c>
      <c r="D31" s="58" t="s">
        <v>46</v>
      </c>
      <c r="E31" s="47" t="s">
        <v>14</v>
      </c>
      <c r="F31" s="47" t="s">
        <v>165</v>
      </c>
      <c r="G31" s="57" t="s">
        <v>146</v>
      </c>
      <c r="H31" s="66" t="s">
        <v>439</v>
      </c>
      <c r="I31" s="68" t="s">
        <v>474</v>
      </c>
      <c r="J31" s="58">
        <f>0.4*1.73*160*3.55</f>
        <v>393.05600000000004</v>
      </c>
      <c r="K31" s="63" t="s">
        <v>191</v>
      </c>
    </row>
    <row r="32" spans="3:11" ht="30" x14ac:dyDescent="0.25">
      <c r="C32" s="55">
        <v>35</v>
      </c>
      <c r="D32" s="58" t="s">
        <v>46</v>
      </c>
      <c r="E32" s="47" t="s">
        <v>14</v>
      </c>
      <c r="F32" s="47" t="s">
        <v>105</v>
      </c>
      <c r="G32" s="57" t="s">
        <v>147</v>
      </c>
      <c r="H32" s="66" t="s">
        <v>440</v>
      </c>
      <c r="I32" s="68" t="s">
        <v>475</v>
      </c>
      <c r="J32" s="58">
        <f>150*1.73*0.283*0.4</f>
        <v>29.375399999999999</v>
      </c>
      <c r="K32" s="63" t="s">
        <v>212</v>
      </c>
    </row>
    <row r="33" spans="3:13" ht="45.75" customHeight="1" x14ac:dyDescent="0.25">
      <c r="C33" s="55">
        <v>36</v>
      </c>
      <c r="D33" s="58" t="s">
        <v>46</v>
      </c>
      <c r="E33" s="47" t="s">
        <v>14</v>
      </c>
      <c r="F33" s="47" t="s">
        <v>105</v>
      </c>
      <c r="G33" s="57" t="s">
        <v>148</v>
      </c>
      <c r="H33" s="66" t="s">
        <v>441</v>
      </c>
      <c r="I33" s="68" t="s">
        <v>476</v>
      </c>
      <c r="J33" s="58">
        <f>200*1.73*1.88*10</f>
        <v>6504.8</v>
      </c>
      <c r="K33" s="63" t="s">
        <v>211</v>
      </c>
    </row>
    <row r="34" spans="3:13" ht="44.25" customHeight="1" x14ac:dyDescent="0.25">
      <c r="C34" s="55">
        <v>37</v>
      </c>
      <c r="D34" s="58" t="s">
        <v>46</v>
      </c>
      <c r="E34" s="47" t="s">
        <v>14</v>
      </c>
      <c r="F34" s="47" t="s">
        <v>105</v>
      </c>
      <c r="G34" s="57" t="s">
        <v>149</v>
      </c>
      <c r="H34" s="66" t="s">
        <v>442</v>
      </c>
      <c r="I34" s="68" t="s">
        <v>477</v>
      </c>
      <c r="J34" s="58">
        <f>500*1.73*3.766*0.4</f>
        <v>1303.0360000000001</v>
      </c>
      <c r="K34" s="63" t="s">
        <v>206</v>
      </c>
    </row>
    <row r="35" spans="3:13" ht="30" x14ac:dyDescent="0.25">
      <c r="C35" s="55">
        <v>38</v>
      </c>
      <c r="D35" s="58" t="s">
        <v>46</v>
      </c>
      <c r="E35" s="47" t="s">
        <v>14</v>
      </c>
      <c r="F35" s="47" t="s">
        <v>105</v>
      </c>
      <c r="G35" s="57" t="s">
        <v>150</v>
      </c>
      <c r="H35" s="66" t="s">
        <v>443</v>
      </c>
      <c r="I35" s="68" t="s">
        <v>478</v>
      </c>
      <c r="J35" s="58">
        <f>150*1.73*2.683*0.4</f>
        <v>278.49539999999996</v>
      </c>
      <c r="K35" s="63" t="s">
        <v>225</v>
      </c>
    </row>
    <row r="36" spans="3:13" ht="30" x14ac:dyDescent="0.25">
      <c r="C36" s="55">
        <v>39</v>
      </c>
      <c r="D36" s="58" t="s">
        <v>46</v>
      </c>
      <c r="E36" s="47" t="s">
        <v>14</v>
      </c>
      <c r="F36" s="47" t="s">
        <v>166</v>
      </c>
      <c r="G36" s="57" t="s">
        <v>151</v>
      </c>
      <c r="H36" s="66" t="s">
        <v>444</v>
      </c>
      <c r="I36" s="68" t="s">
        <v>479</v>
      </c>
      <c r="J36" s="58">
        <f>10*1.73*240*4.283</f>
        <v>17783.016000000003</v>
      </c>
      <c r="K36" s="63" t="s">
        <v>211</v>
      </c>
    </row>
    <row r="37" spans="3:13" ht="30" x14ac:dyDescent="0.25">
      <c r="C37" s="55">
        <v>40</v>
      </c>
      <c r="D37" s="58" t="s">
        <v>46</v>
      </c>
      <c r="E37" s="47" t="s">
        <v>14</v>
      </c>
      <c r="F37" s="47" t="s">
        <v>105</v>
      </c>
      <c r="G37" s="57" t="s">
        <v>71</v>
      </c>
      <c r="H37" s="66" t="s">
        <v>445</v>
      </c>
      <c r="I37" s="68" t="s">
        <v>480</v>
      </c>
      <c r="J37" s="58">
        <f>10*1.73*100*5.733</f>
        <v>9918.09</v>
      </c>
      <c r="K37" s="63" t="s">
        <v>180</v>
      </c>
    </row>
    <row r="38" spans="3:13" ht="30" x14ac:dyDescent="0.25">
      <c r="C38" s="55">
        <v>41</v>
      </c>
      <c r="D38" s="58" t="s">
        <v>46</v>
      </c>
      <c r="E38" s="47" t="s">
        <v>14</v>
      </c>
      <c r="F38" s="47" t="s">
        <v>105</v>
      </c>
      <c r="G38" s="57" t="s">
        <v>152</v>
      </c>
      <c r="H38" s="66" t="s">
        <v>446</v>
      </c>
      <c r="I38" s="68" t="s">
        <v>481</v>
      </c>
      <c r="J38" s="58">
        <f>10*1.73*16*2.933</f>
        <v>811.85439999999994</v>
      </c>
      <c r="K38" s="63" t="s">
        <v>208</v>
      </c>
    </row>
    <row r="39" spans="3:13" ht="30" x14ac:dyDescent="0.25">
      <c r="C39" s="55">
        <v>42</v>
      </c>
      <c r="D39" s="58" t="s">
        <v>46</v>
      </c>
      <c r="E39" s="47" t="s">
        <v>14</v>
      </c>
      <c r="F39" s="47" t="s">
        <v>105</v>
      </c>
      <c r="G39" s="57" t="s">
        <v>153</v>
      </c>
      <c r="H39" s="66" t="s">
        <v>447</v>
      </c>
      <c r="I39" s="68" t="s">
        <v>482</v>
      </c>
      <c r="J39" s="58">
        <f>150*1.73*0.666*0.4</f>
        <v>69.130800000000008</v>
      </c>
      <c r="K39" s="63" t="s">
        <v>209</v>
      </c>
    </row>
    <row r="40" spans="3:13" ht="45.6" customHeight="1" x14ac:dyDescent="0.25">
      <c r="C40" s="55">
        <v>43</v>
      </c>
      <c r="D40" s="58" t="s">
        <v>46</v>
      </c>
      <c r="E40" s="47" t="s">
        <v>14</v>
      </c>
      <c r="F40" s="47" t="s">
        <v>105</v>
      </c>
      <c r="G40" s="57" t="s">
        <v>154</v>
      </c>
      <c r="H40" s="66" t="s">
        <v>448</v>
      </c>
      <c r="I40" s="68" t="s">
        <v>483</v>
      </c>
      <c r="J40" s="58">
        <f>150*1.73*2.583*0.4</f>
        <v>268.11540000000002</v>
      </c>
      <c r="K40" s="63" t="s">
        <v>210</v>
      </c>
    </row>
    <row r="41" spans="3:13" ht="30" x14ac:dyDescent="0.25">
      <c r="C41" s="55">
        <v>44</v>
      </c>
      <c r="D41" s="58" t="s">
        <v>46</v>
      </c>
      <c r="E41" s="47" t="s">
        <v>14</v>
      </c>
      <c r="F41" s="47" t="s">
        <v>105</v>
      </c>
      <c r="G41" s="57" t="s">
        <v>155</v>
      </c>
      <c r="H41" s="66" t="s">
        <v>446</v>
      </c>
      <c r="I41" s="68" t="s">
        <v>484</v>
      </c>
      <c r="J41" s="58">
        <f>100*1.73*0.55*10</f>
        <v>951.5</v>
      </c>
      <c r="K41" s="63" t="s">
        <v>221</v>
      </c>
    </row>
    <row r="42" spans="3:13" ht="45" x14ac:dyDescent="0.25">
      <c r="C42" s="55">
        <v>45</v>
      </c>
      <c r="D42" s="58" t="s">
        <v>46</v>
      </c>
      <c r="E42" s="47" t="s">
        <v>14</v>
      </c>
      <c r="F42" s="47" t="s">
        <v>105</v>
      </c>
      <c r="G42" s="57" t="s">
        <v>156</v>
      </c>
      <c r="H42" s="66" t="s">
        <v>449</v>
      </c>
      <c r="I42" s="68" t="s">
        <v>485</v>
      </c>
      <c r="J42" s="58">
        <f>100*1.73*0.416*10</f>
        <v>719.68000000000006</v>
      </c>
      <c r="K42" s="63" t="s">
        <v>224</v>
      </c>
    </row>
    <row r="43" spans="3:13" ht="40.5" customHeight="1" x14ac:dyDescent="0.25">
      <c r="C43" s="55">
        <v>46</v>
      </c>
      <c r="D43" s="58" t="s">
        <v>46</v>
      </c>
      <c r="E43" s="47" t="s">
        <v>14</v>
      </c>
      <c r="F43" s="47" t="s">
        <v>165</v>
      </c>
      <c r="G43" s="57" t="s">
        <v>146</v>
      </c>
      <c r="H43" s="66" t="s">
        <v>450</v>
      </c>
      <c r="I43" s="68" t="s">
        <v>486</v>
      </c>
      <c r="J43" s="58">
        <f>10*1.73*60*2.226</f>
        <v>2310.5880000000002</v>
      </c>
      <c r="K43" s="63" t="s">
        <v>207</v>
      </c>
      <c r="L43" s="48"/>
      <c r="M43" s="48"/>
    </row>
    <row r="44" spans="3:13" ht="30" x14ac:dyDescent="0.25">
      <c r="C44" s="55">
        <v>47</v>
      </c>
      <c r="D44" s="58" t="s">
        <v>46</v>
      </c>
      <c r="E44" s="47" t="s">
        <v>14</v>
      </c>
      <c r="F44" s="47" t="s">
        <v>164</v>
      </c>
      <c r="G44" s="57" t="s">
        <v>157</v>
      </c>
      <c r="H44" s="66" t="s">
        <v>451</v>
      </c>
      <c r="I44" s="68" t="s">
        <v>487</v>
      </c>
      <c r="J44" s="58">
        <f>10*1.73*60*2.2</f>
        <v>2283.6000000000004</v>
      </c>
      <c r="K44" s="63" t="s">
        <v>223</v>
      </c>
    </row>
    <row r="45" spans="3:13" ht="30" x14ac:dyDescent="0.25">
      <c r="C45" s="55">
        <v>48</v>
      </c>
      <c r="D45" s="58" t="s">
        <v>46</v>
      </c>
      <c r="E45" s="47" t="s">
        <v>14</v>
      </c>
      <c r="F45" s="47" t="s">
        <v>105</v>
      </c>
      <c r="G45" s="57" t="s">
        <v>158</v>
      </c>
      <c r="H45" s="66" t="s">
        <v>452</v>
      </c>
      <c r="I45" s="68" t="s">
        <v>488</v>
      </c>
      <c r="J45" s="58">
        <f>10*1.73*200*2.966</f>
        <v>10262.36</v>
      </c>
      <c r="K45" s="63" t="s">
        <v>222</v>
      </c>
    </row>
    <row r="46" spans="3:13" ht="30" x14ac:dyDescent="0.25">
      <c r="C46" s="55">
        <v>56</v>
      </c>
      <c r="D46" s="58" t="s">
        <v>46</v>
      </c>
      <c r="E46" s="47" t="s">
        <v>14</v>
      </c>
      <c r="F46" s="47" t="s">
        <v>105</v>
      </c>
      <c r="G46" s="57" t="s">
        <v>159</v>
      </c>
      <c r="H46" s="66" t="s">
        <v>453</v>
      </c>
      <c r="I46" s="68" t="s">
        <v>489</v>
      </c>
      <c r="J46" s="58">
        <f>150*1.73*1.8*0.4</f>
        <v>186.84000000000003</v>
      </c>
      <c r="K46" s="63" t="s">
        <v>177</v>
      </c>
    </row>
    <row r="47" spans="3:13" ht="30" x14ac:dyDescent="0.25">
      <c r="C47" s="55">
        <v>59</v>
      </c>
      <c r="D47" s="58" t="s">
        <v>46</v>
      </c>
      <c r="E47" s="47" t="s">
        <v>14</v>
      </c>
      <c r="F47" s="47" t="s">
        <v>117</v>
      </c>
      <c r="G47" s="57" t="s">
        <v>160</v>
      </c>
      <c r="H47" s="66" t="s">
        <v>454</v>
      </c>
      <c r="I47" s="68" t="s">
        <v>490</v>
      </c>
      <c r="J47" s="58">
        <f>0*1.73*2.37*10</f>
        <v>0</v>
      </c>
      <c r="K47" s="63" t="s">
        <v>228</v>
      </c>
    </row>
    <row r="48" spans="3:13" ht="19.5" thickBot="1" x14ac:dyDescent="0.3">
      <c r="C48" s="59"/>
      <c r="D48" s="59"/>
      <c r="E48" s="59"/>
      <c r="F48" s="59"/>
      <c r="G48" s="59"/>
      <c r="H48" s="65"/>
      <c r="I48" s="22" t="s">
        <v>9</v>
      </c>
      <c r="J48" s="23">
        <f>SUM(J10:J47)</f>
        <v>199577.14230000004</v>
      </c>
      <c r="K48" s="10"/>
    </row>
  </sheetData>
  <mergeCells count="13">
    <mergeCell ref="I2:J2"/>
    <mergeCell ref="I3:J3"/>
    <mergeCell ref="B4:J4"/>
    <mergeCell ref="E5:G5"/>
    <mergeCell ref="G8:G9"/>
    <mergeCell ref="H8:H9"/>
    <mergeCell ref="I8:I9"/>
    <mergeCell ref="J8:J9"/>
    <mergeCell ref="K8:K9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D33" sqref="D33"/>
    </sheetView>
  </sheetViews>
  <sheetFormatPr defaultColWidth="9.140625" defaultRowHeight="15" x14ac:dyDescent="0.25"/>
  <cols>
    <col min="1" max="1" width="5.5703125" style="9" customWidth="1"/>
    <col min="2" max="2" width="13.7109375" style="9" customWidth="1"/>
    <col min="3" max="3" width="15.5703125" style="9" customWidth="1"/>
    <col min="4" max="4" width="21.85546875" style="9" customWidth="1"/>
    <col min="5" max="5" width="25.140625" style="9" customWidth="1"/>
    <col min="6" max="6" width="17" style="9" customWidth="1"/>
    <col min="7" max="7" width="16.85546875" style="9" customWidth="1"/>
    <col min="8" max="8" width="17.7109375" style="9" customWidth="1"/>
    <col min="9" max="9" width="27.28515625" style="9" customWidth="1"/>
    <col min="10" max="10" width="17.7109375" style="9" customWidth="1"/>
    <col min="11" max="11" width="17.140625" style="9" customWidth="1"/>
    <col min="12" max="12" width="17" style="9" customWidth="1"/>
    <col min="13" max="13" width="16.5703125" style="9" customWidth="1"/>
    <col min="14" max="14" width="60.85546875" style="9" customWidth="1"/>
    <col min="15" max="15" width="15.5703125" style="9" customWidth="1"/>
    <col min="16" max="16384" width="9.140625" style="9"/>
  </cols>
  <sheetData>
    <row r="1" spans="1:15" x14ac:dyDescent="0.25">
      <c r="H1" s="71"/>
      <c r="I1" s="71"/>
    </row>
    <row r="2" spans="1:15" ht="12.75" customHeight="1" x14ac:dyDescent="0.25">
      <c r="H2" s="71"/>
      <c r="I2" s="71"/>
    </row>
    <row r="3" spans="1:15" ht="42.75" customHeight="1" x14ac:dyDescent="0.25">
      <c r="A3" s="72" t="s">
        <v>10</v>
      </c>
      <c r="B3" s="72"/>
      <c r="C3" s="72"/>
      <c r="D3" s="72"/>
      <c r="E3" s="72"/>
      <c r="F3" s="72"/>
      <c r="G3" s="72"/>
      <c r="H3" s="72"/>
      <c r="I3" s="72"/>
      <c r="J3" s="2"/>
      <c r="K3" s="2"/>
      <c r="L3" s="2"/>
      <c r="M3" s="2"/>
      <c r="N3" s="2"/>
      <c r="O3" s="2"/>
    </row>
    <row r="4" spans="1:15" ht="21.75" customHeight="1" x14ac:dyDescent="0.25">
      <c r="A4" s="8"/>
      <c r="B4" s="8"/>
      <c r="C4" s="8"/>
      <c r="D4" s="72" t="s">
        <v>11</v>
      </c>
      <c r="E4" s="72"/>
      <c r="F4" s="72"/>
      <c r="G4" s="8"/>
      <c r="H4" s="8"/>
      <c r="I4" s="8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78" t="s">
        <v>4</v>
      </c>
      <c r="B6" s="78" t="s">
        <v>0</v>
      </c>
      <c r="C6" s="78" t="s">
        <v>1</v>
      </c>
      <c r="D6" s="78" t="s">
        <v>2</v>
      </c>
      <c r="E6" s="78" t="s">
        <v>3</v>
      </c>
      <c r="F6" s="78" t="s">
        <v>5</v>
      </c>
      <c r="G6" s="78" t="s">
        <v>6</v>
      </c>
      <c r="H6" s="78" t="s">
        <v>8</v>
      </c>
      <c r="I6" s="78" t="s">
        <v>7</v>
      </c>
    </row>
    <row r="7" spans="1:15" ht="51.75" customHeight="1" thickBot="1" x14ac:dyDescent="0.3">
      <c r="A7" s="78"/>
      <c r="B7" s="78"/>
      <c r="C7" s="78"/>
      <c r="D7" s="78"/>
      <c r="E7" s="78"/>
      <c r="F7" s="78"/>
      <c r="G7" s="78"/>
      <c r="H7" s="79"/>
      <c r="I7" s="79"/>
    </row>
    <row r="8" spans="1:15" s="24" customFormat="1" ht="33" customHeight="1" thickBot="1" x14ac:dyDescent="0.3">
      <c r="A8" s="25">
        <v>1</v>
      </c>
      <c r="B8" s="40"/>
      <c r="C8" s="41"/>
      <c r="D8" s="35"/>
      <c r="E8" s="19"/>
      <c r="F8" s="32"/>
      <c r="G8" s="19"/>
      <c r="H8" s="29"/>
      <c r="I8" s="39"/>
    </row>
    <row r="9" spans="1:15" s="38" customFormat="1" ht="33" customHeight="1" thickBot="1" x14ac:dyDescent="0.3">
      <c r="A9" s="39">
        <f>A8+1</f>
        <v>2</v>
      </c>
      <c r="B9" s="40"/>
      <c r="C9" s="41"/>
      <c r="D9" s="42"/>
      <c r="E9" s="19"/>
      <c r="F9" s="32"/>
      <c r="G9" s="44"/>
      <c r="H9" s="36"/>
      <c r="I9" s="39"/>
    </row>
    <row r="10" spans="1:15" s="31" customFormat="1" ht="33" customHeight="1" thickBot="1" x14ac:dyDescent="0.3">
      <c r="A10" s="39">
        <f>A9+1</f>
        <v>3</v>
      </c>
      <c r="B10" s="39"/>
      <c r="C10" s="15"/>
      <c r="D10" s="43"/>
      <c r="E10" s="33"/>
      <c r="F10" s="19"/>
      <c r="G10" s="34"/>
      <c r="H10" s="36"/>
      <c r="I10" s="39"/>
    </row>
    <row r="11" spans="1:15" ht="19.5" thickBot="1" x14ac:dyDescent="0.3">
      <c r="G11" s="3" t="s">
        <v>9</v>
      </c>
      <c r="H11" s="4">
        <f>SUM(H8:H10)</f>
        <v>0</v>
      </c>
      <c r="I11" s="10"/>
    </row>
  </sheetData>
  <mergeCells count="13"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D17" sqref="D17"/>
    </sheetView>
  </sheetViews>
  <sheetFormatPr defaultColWidth="9.140625" defaultRowHeight="15" x14ac:dyDescent="0.25"/>
  <cols>
    <col min="1" max="1" width="5.5703125" style="1" customWidth="1"/>
    <col min="2" max="2" width="13.7109375" style="1" customWidth="1"/>
    <col min="3" max="3" width="15.5703125" style="1" customWidth="1"/>
    <col min="4" max="4" width="21.85546875" style="1" customWidth="1"/>
    <col min="5" max="5" width="25.85546875" style="1" customWidth="1"/>
    <col min="6" max="6" width="17" style="1" customWidth="1"/>
    <col min="7" max="7" width="16.85546875" style="1" customWidth="1"/>
    <col min="8" max="8" width="17.7109375" style="1" customWidth="1"/>
    <col min="9" max="9" width="27.28515625" style="1" customWidth="1"/>
    <col min="10" max="10" width="17.7109375" style="1" customWidth="1"/>
    <col min="11" max="11" width="17.140625" style="1" customWidth="1"/>
    <col min="12" max="12" width="17" style="1" customWidth="1"/>
    <col min="13" max="13" width="16.5703125" style="1" customWidth="1"/>
    <col min="14" max="14" width="60.85546875" style="1" customWidth="1"/>
    <col min="15" max="15" width="15.5703125" style="1" customWidth="1"/>
    <col min="16" max="16384" width="9.140625" style="1"/>
  </cols>
  <sheetData>
    <row r="1" spans="1:15" x14ac:dyDescent="0.25">
      <c r="H1" s="71"/>
      <c r="I1" s="71"/>
    </row>
    <row r="2" spans="1:15" ht="12.75" customHeight="1" x14ac:dyDescent="0.25">
      <c r="H2" s="71"/>
      <c r="I2" s="71"/>
    </row>
    <row r="3" spans="1:15" ht="42.75" customHeight="1" x14ac:dyDescent="0.25">
      <c r="A3" s="72" t="s">
        <v>10</v>
      </c>
      <c r="B3" s="72"/>
      <c r="C3" s="72"/>
      <c r="D3" s="72"/>
      <c r="E3" s="72"/>
      <c r="F3" s="72"/>
      <c r="G3" s="72"/>
      <c r="H3" s="72"/>
      <c r="I3" s="72"/>
      <c r="J3" s="2"/>
      <c r="K3" s="2"/>
      <c r="L3" s="2"/>
      <c r="M3" s="2"/>
      <c r="N3" s="2"/>
      <c r="O3" s="2"/>
    </row>
    <row r="4" spans="1:15" s="6" customFormat="1" ht="21.75" customHeight="1" x14ac:dyDescent="0.25">
      <c r="A4" s="5"/>
      <c r="B4" s="5"/>
      <c r="C4" s="5"/>
      <c r="D4" s="72" t="s">
        <v>12</v>
      </c>
      <c r="E4" s="72"/>
      <c r="F4" s="72"/>
      <c r="G4" s="5"/>
      <c r="H4" s="5"/>
      <c r="I4" s="5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78" t="s">
        <v>4</v>
      </c>
      <c r="B6" s="78" t="s">
        <v>0</v>
      </c>
      <c r="C6" s="78" t="s">
        <v>1</v>
      </c>
      <c r="D6" s="78" t="s">
        <v>2</v>
      </c>
      <c r="E6" s="78" t="s">
        <v>3</v>
      </c>
      <c r="F6" s="78" t="s">
        <v>5</v>
      </c>
      <c r="G6" s="78" t="s">
        <v>6</v>
      </c>
      <c r="H6" s="78" t="s">
        <v>8</v>
      </c>
      <c r="I6" s="78" t="s">
        <v>7</v>
      </c>
    </row>
    <row r="7" spans="1:15" ht="51.75" customHeight="1" thickBot="1" x14ac:dyDescent="0.3">
      <c r="A7" s="78"/>
      <c r="B7" s="78"/>
      <c r="C7" s="78"/>
      <c r="D7" s="78"/>
      <c r="E7" s="78"/>
      <c r="F7" s="78"/>
      <c r="G7" s="78"/>
      <c r="H7" s="79"/>
      <c r="I7" s="79"/>
    </row>
    <row r="8" spans="1:15" s="38" customFormat="1" ht="33" customHeight="1" thickBot="1" x14ac:dyDescent="0.3">
      <c r="A8" s="39">
        <v>1</v>
      </c>
      <c r="B8" s="39"/>
      <c r="C8" s="39"/>
      <c r="D8" s="39"/>
      <c r="E8" s="39"/>
      <c r="F8" s="39"/>
      <c r="G8" s="39"/>
      <c r="H8" s="40"/>
      <c r="I8" s="40"/>
    </row>
    <row r="9" spans="1:15" s="38" customFormat="1" ht="30.75" customHeight="1" thickBot="1" x14ac:dyDescent="0.3">
      <c r="A9" s="39">
        <f>A8+1</f>
        <v>2</v>
      </c>
      <c r="B9" s="39"/>
      <c r="C9" s="39"/>
      <c r="D9" s="39"/>
      <c r="E9" s="39"/>
      <c r="F9" s="39"/>
      <c r="G9" s="39"/>
      <c r="H9" s="40"/>
      <c r="I9" s="40"/>
    </row>
    <row r="10" spans="1:15" ht="35.25" customHeight="1" thickBot="1" x14ac:dyDescent="0.3">
      <c r="A10" s="39">
        <f>A9+1</f>
        <v>3</v>
      </c>
      <c r="B10" s="30"/>
      <c r="C10" s="15"/>
      <c r="D10" s="15"/>
      <c r="E10" s="7"/>
      <c r="F10" s="7"/>
      <c r="G10" s="7"/>
      <c r="H10" s="29"/>
      <c r="I10" s="30"/>
    </row>
    <row r="11" spans="1:15" ht="19.5" thickBot="1" x14ac:dyDescent="0.3">
      <c r="G11" s="3" t="s">
        <v>9</v>
      </c>
      <c r="H11" s="4">
        <f>SUM(H10:H10)</f>
        <v>0</v>
      </c>
    </row>
  </sheetData>
  <mergeCells count="13">
    <mergeCell ref="A6:A7"/>
    <mergeCell ref="A3:I3"/>
    <mergeCell ref="H6:H7"/>
    <mergeCell ref="I6:I7"/>
    <mergeCell ref="G6:G7"/>
    <mergeCell ref="F6:F7"/>
    <mergeCell ref="E6:E7"/>
    <mergeCell ref="D4:F4"/>
    <mergeCell ref="H1:I1"/>
    <mergeCell ref="H2:I2"/>
    <mergeCell ref="D6:D7"/>
    <mergeCell ref="C6:C7"/>
    <mergeCell ref="B6:B7"/>
  </mergeCells>
  <pageMargins left="0.7" right="0.7" top="0.75" bottom="0.75" header="0.3" footer="0.3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15" sqref="H15"/>
    </sheetView>
  </sheetViews>
  <sheetFormatPr defaultColWidth="9.140625" defaultRowHeight="15" x14ac:dyDescent="0.25"/>
  <cols>
    <col min="1" max="1" width="5.5703125" style="13" customWidth="1"/>
    <col min="2" max="2" width="13.7109375" style="13" customWidth="1"/>
    <col min="3" max="3" width="15.5703125" style="13" customWidth="1"/>
    <col min="4" max="4" width="21.85546875" style="13" customWidth="1"/>
    <col min="5" max="5" width="25.140625" style="13" customWidth="1"/>
    <col min="6" max="6" width="17" style="13" customWidth="1"/>
    <col min="7" max="7" width="16.85546875" style="13" customWidth="1"/>
    <col min="8" max="8" width="17.7109375" style="13" customWidth="1"/>
    <col min="9" max="9" width="27.28515625" style="13" customWidth="1"/>
    <col min="10" max="10" width="17.7109375" style="13" customWidth="1"/>
    <col min="11" max="11" width="17.140625" style="13" customWidth="1"/>
    <col min="12" max="12" width="17" style="13" customWidth="1"/>
    <col min="13" max="13" width="16.5703125" style="13" customWidth="1"/>
    <col min="14" max="14" width="60.85546875" style="13" customWidth="1"/>
    <col min="15" max="15" width="15.5703125" style="13" customWidth="1"/>
    <col min="16" max="16384" width="9.140625" style="13"/>
  </cols>
  <sheetData>
    <row r="1" spans="1:15" x14ac:dyDescent="0.25">
      <c r="H1" s="71"/>
      <c r="I1" s="71"/>
    </row>
    <row r="2" spans="1:15" ht="12.75" customHeight="1" x14ac:dyDescent="0.25">
      <c r="H2" s="71"/>
      <c r="I2" s="71"/>
    </row>
    <row r="3" spans="1:15" ht="42.75" customHeight="1" x14ac:dyDescent="0.25">
      <c r="A3" s="72" t="s">
        <v>10</v>
      </c>
      <c r="B3" s="72"/>
      <c r="C3" s="72"/>
      <c r="D3" s="72"/>
      <c r="E3" s="72"/>
      <c r="F3" s="72"/>
      <c r="G3" s="72"/>
      <c r="H3" s="72"/>
      <c r="I3" s="72"/>
      <c r="J3" s="2"/>
      <c r="K3" s="2"/>
      <c r="L3" s="2"/>
      <c r="M3" s="2"/>
      <c r="N3" s="2"/>
      <c r="O3" s="2"/>
    </row>
    <row r="4" spans="1:15" ht="21.75" customHeight="1" x14ac:dyDescent="0.25">
      <c r="A4" s="14"/>
      <c r="B4" s="14"/>
      <c r="C4" s="14"/>
      <c r="D4" s="72" t="s">
        <v>13</v>
      </c>
      <c r="E4" s="72"/>
      <c r="F4" s="72"/>
      <c r="G4" s="14"/>
      <c r="H4" s="14"/>
      <c r="I4" s="14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78" t="s">
        <v>4</v>
      </c>
      <c r="B6" s="78" t="s">
        <v>0</v>
      </c>
      <c r="C6" s="78" t="s">
        <v>1</v>
      </c>
      <c r="D6" s="78" t="s">
        <v>2</v>
      </c>
      <c r="E6" s="78" t="s">
        <v>3</v>
      </c>
      <c r="F6" s="78" t="s">
        <v>5</v>
      </c>
      <c r="G6" s="78" t="s">
        <v>6</v>
      </c>
      <c r="H6" s="78" t="s">
        <v>8</v>
      </c>
      <c r="I6" s="78" t="s">
        <v>7</v>
      </c>
    </row>
    <row r="7" spans="1:15" ht="51.75" customHeight="1" thickBot="1" x14ac:dyDescent="0.3">
      <c r="A7" s="78"/>
      <c r="B7" s="78"/>
      <c r="C7" s="78"/>
      <c r="D7" s="78"/>
      <c r="E7" s="79"/>
      <c r="F7" s="79"/>
      <c r="G7" s="79"/>
      <c r="H7" s="79"/>
      <c r="I7" s="79"/>
    </row>
    <row r="8" spans="1:15" ht="33.75" customHeight="1" thickBot="1" x14ac:dyDescent="0.3">
      <c r="A8" s="16">
        <v>1</v>
      </c>
      <c r="B8" s="18"/>
      <c r="C8" s="21"/>
      <c r="D8" s="21"/>
      <c r="E8" s="17"/>
      <c r="F8" s="19"/>
      <c r="G8" s="19"/>
      <c r="H8" s="20"/>
      <c r="I8" s="17"/>
    </row>
    <row r="9" spans="1:15" s="27" customFormat="1" ht="31.5" customHeight="1" thickBot="1" x14ac:dyDescent="0.3">
      <c r="A9" s="28">
        <f>A8+1</f>
        <v>2</v>
      </c>
      <c r="B9" s="21"/>
      <c r="C9" s="21"/>
      <c r="D9" s="21"/>
      <c r="E9" s="17"/>
      <c r="F9" s="19"/>
      <c r="G9" s="19"/>
      <c r="H9" s="29"/>
      <c r="I9" s="17"/>
    </row>
    <row r="10" spans="1:15" s="27" customFormat="1" ht="41.25" customHeight="1" thickBot="1" x14ac:dyDescent="0.3">
      <c r="A10" s="28">
        <f t="shared" ref="A10" si="0">A9+1</f>
        <v>3</v>
      </c>
      <c r="B10" s="21"/>
      <c r="C10" s="21"/>
      <c r="D10" s="21"/>
      <c r="E10" s="17"/>
      <c r="F10" s="19"/>
      <c r="G10" s="19"/>
      <c r="H10" s="20"/>
      <c r="I10" s="17"/>
    </row>
    <row r="11" spans="1:15" ht="22.5" customHeight="1" thickBot="1" x14ac:dyDescent="0.3">
      <c r="G11" s="22" t="s">
        <v>9</v>
      </c>
      <c r="H11" s="23">
        <f>SUM(H8:H10)</f>
        <v>0</v>
      </c>
      <c r="I11" s="10"/>
    </row>
  </sheetData>
  <mergeCells count="13">
    <mergeCell ref="G6:G7"/>
    <mergeCell ref="H6:H7"/>
    <mergeCell ref="I6:I7"/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Январь 2022г.</vt:lpstr>
      <vt:lpstr>Февраль 2022</vt:lpstr>
      <vt:lpstr>Март 2022</vt:lpstr>
      <vt:lpstr>2 квартал 2020</vt:lpstr>
      <vt:lpstr>3 квартал 2020</vt:lpstr>
      <vt:lpstr>4 квартал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2022-06-22T09:57:30Z</dcterms:modified>
</cp:coreProperties>
</file>